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0.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swecogroup.sharepoint.com/sites/Gr_KigaliPhaseC/Shared Documents/GCF Application/F_Annex 3_Economic and financial analyses/"/>
    </mc:Choice>
  </mc:AlternateContent>
  <xr:revisionPtr revIDLastSave="337" documentId="6_{62938E17-DFE4-4CA0-AA4F-DCCECE69432F}" xr6:coauthVersionLast="47" xr6:coauthVersionMax="47" xr10:uidLastSave="{DF4C3EBC-C44A-4A70-9C99-DA8247ED3375}"/>
  <bookViews>
    <workbookView xWindow="16365" yWindow="1320" windowWidth="29520" windowHeight="18525" tabRatio="762" xr2:uid="{A27CE5BB-37B3-4B15-AF24-474B83FE9EE7}"/>
  </bookViews>
  <sheets>
    <sheet name="Disclaimer" sheetId="1" r:id="rId1"/>
    <sheet name="Log" sheetId="5" r:id="rId2"/>
    <sheet name="Map" sheetId="9" r:id="rId3"/>
    <sheet name="Dashboard" sheetId="7" r:id="rId4"/>
    <sheet name="Assumptions" sheetId="6" r:id="rId5"/>
    <sheet name="Timeline" sheetId="19" r:id="rId6"/>
    <sheet name="Financing" sheetId="22" r:id="rId7"/>
    <sheet name="Annex 4" sheetId="27" r:id="rId8"/>
    <sheet name="Improvement timeline" sheetId="20" r:id="rId9"/>
    <sheet name="Summary" sheetId="23" r:id="rId10"/>
    <sheet name="Cashflow" sheetId="26" r:id="rId11"/>
    <sheet name="Solar street lighting" sheetId="31" r:id="rId12"/>
    <sheet name="Sensitivity Analysis" sheetId="13" state="hidden" r:id="rId13"/>
    <sheet name="Dropdowns" sheetId="21" state="hidden" r:id="rId14"/>
    <sheet name="BoQ" sheetId="17" state="hidden" r:id="rId15"/>
  </sheets>
  <definedNames>
    <definedName name="_xlnm._FilterDatabase" localSheetId="8" hidden="1">'Improvement timeline'!$C$8:$R$143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9" i="31" l="1"/>
  <c r="D11" i="31"/>
  <c r="M148" i="20"/>
  <c r="T162" i="27"/>
  <c r="T159" i="27"/>
  <c r="C173" i="27"/>
  <c r="C170" i="27"/>
  <c r="E26" i="19"/>
  <c r="E15" i="19" l="1"/>
  <c r="E9" i="19"/>
  <c r="E21" i="19" s="1"/>
  <c r="E29" i="19" l="1"/>
  <c r="E8" i="6"/>
  <c r="P40" i="31" l="1"/>
  <c r="S40" i="31"/>
  <c r="X40" i="31"/>
  <c r="AA40" i="31"/>
  <c r="AF40" i="31"/>
  <c r="AI40" i="31"/>
  <c r="AN40" i="31"/>
  <c r="AQ40" i="31"/>
  <c r="C37" i="31"/>
  <c r="C36" i="31"/>
  <c r="F23" i="31"/>
  <c r="D18" i="31"/>
  <c r="D21" i="31" s="1"/>
  <c r="D17" i="31"/>
  <c r="D20" i="31" s="1"/>
  <c r="D9" i="31"/>
  <c r="D40" i="31" s="1"/>
  <c r="AM40" i="31" l="1"/>
  <c r="AE40" i="31"/>
  <c r="W40" i="31"/>
  <c r="L40" i="31"/>
  <c r="AJ40" i="31"/>
  <c r="AB40" i="31"/>
  <c r="T40" i="31"/>
  <c r="H40" i="31"/>
  <c r="O40" i="31"/>
  <c r="K40" i="31"/>
  <c r="G40" i="31"/>
  <c r="AP40" i="31"/>
  <c r="AL40" i="31"/>
  <c r="AH40" i="31"/>
  <c r="AD40" i="31"/>
  <c r="Z40" i="31"/>
  <c r="V40" i="31"/>
  <c r="R40" i="31"/>
  <c r="N40" i="31"/>
  <c r="J40" i="31"/>
  <c r="F40" i="31"/>
  <c r="AO40" i="31"/>
  <c r="AK40" i="31"/>
  <c r="AG40" i="31"/>
  <c r="AC40" i="31"/>
  <c r="Y40" i="31"/>
  <c r="U40" i="31"/>
  <c r="Q40" i="31"/>
  <c r="M40" i="31"/>
  <c r="I40" i="31"/>
  <c r="E40" i="31"/>
  <c r="E196" i="20"/>
  <c r="C138" i="20" l="1"/>
  <c r="D138" i="20"/>
  <c r="E138" i="20"/>
  <c r="F138" i="20"/>
  <c r="G138" i="20"/>
  <c r="H138" i="20"/>
  <c r="I138" i="20"/>
  <c r="J138" i="20"/>
  <c r="K138" i="20"/>
  <c r="L138" i="20"/>
  <c r="Q138" i="20" s="1"/>
  <c r="P138" i="20"/>
  <c r="O148" i="27"/>
  <c r="P148" i="27"/>
  <c r="Q148" i="27"/>
  <c r="R148" i="27"/>
  <c r="S148" i="27"/>
  <c r="C126" i="20"/>
  <c r="D126" i="20"/>
  <c r="E126" i="20"/>
  <c r="F126" i="20"/>
  <c r="G126" i="20"/>
  <c r="H126" i="20"/>
  <c r="I126" i="20"/>
  <c r="J126" i="20"/>
  <c r="K126" i="20"/>
  <c r="L126" i="20"/>
  <c r="O136" i="27"/>
  <c r="P136" i="27"/>
  <c r="Q136" i="27"/>
  <c r="R136" i="27"/>
  <c r="S136" i="27"/>
  <c r="C120" i="20"/>
  <c r="D120" i="20"/>
  <c r="E120" i="20"/>
  <c r="F120" i="20"/>
  <c r="G120" i="20"/>
  <c r="H120" i="20"/>
  <c r="I120" i="20"/>
  <c r="J120" i="20"/>
  <c r="K120" i="20"/>
  <c r="L120" i="20"/>
  <c r="O130" i="27"/>
  <c r="P130" i="27"/>
  <c r="Q130" i="27"/>
  <c r="T130" i="27" s="1"/>
  <c r="R130" i="27"/>
  <c r="S130" i="27"/>
  <c r="C116" i="20"/>
  <c r="D116" i="20"/>
  <c r="E116" i="20"/>
  <c r="F116" i="20"/>
  <c r="G116" i="20"/>
  <c r="H116" i="20"/>
  <c r="I116" i="20"/>
  <c r="J116" i="20"/>
  <c r="K116" i="20"/>
  <c r="L116" i="20"/>
  <c r="O126" i="27"/>
  <c r="P126" i="27"/>
  <c r="Q126" i="27"/>
  <c r="R126" i="27"/>
  <c r="S126" i="27"/>
  <c r="C74" i="20"/>
  <c r="D74" i="20"/>
  <c r="E74" i="20"/>
  <c r="F74" i="20"/>
  <c r="G74" i="20"/>
  <c r="H74" i="20"/>
  <c r="I74" i="20"/>
  <c r="J74" i="20"/>
  <c r="K74" i="20"/>
  <c r="L74" i="20"/>
  <c r="O85" i="27"/>
  <c r="P85" i="27"/>
  <c r="Q85" i="27"/>
  <c r="R85" i="27"/>
  <c r="S85" i="27"/>
  <c r="C105" i="20"/>
  <c r="D105" i="20"/>
  <c r="E105" i="20"/>
  <c r="F105" i="20"/>
  <c r="G105" i="20"/>
  <c r="H105" i="20"/>
  <c r="I105" i="20"/>
  <c r="J105" i="20"/>
  <c r="K105" i="20"/>
  <c r="P105" i="20" s="1"/>
  <c r="L105" i="20"/>
  <c r="C106" i="20"/>
  <c r="D106" i="20"/>
  <c r="E106" i="20"/>
  <c r="F106" i="20"/>
  <c r="G106" i="20"/>
  <c r="H106" i="20"/>
  <c r="I106" i="20"/>
  <c r="J106" i="20"/>
  <c r="K106" i="20"/>
  <c r="L106" i="20"/>
  <c r="C107" i="20"/>
  <c r="D107" i="20"/>
  <c r="E107" i="20"/>
  <c r="F107" i="20"/>
  <c r="G107" i="20"/>
  <c r="H107" i="20"/>
  <c r="I107" i="20"/>
  <c r="J107" i="20"/>
  <c r="K107" i="20"/>
  <c r="L107" i="20"/>
  <c r="C108" i="20"/>
  <c r="D108" i="20"/>
  <c r="E108" i="20"/>
  <c r="F108" i="20"/>
  <c r="G108" i="20"/>
  <c r="H108" i="20"/>
  <c r="I108" i="20"/>
  <c r="J108" i="20"/>
  <c r="K108" i="20"/>
  <c r="P108" i="20" s="1"/>
  <c r="L108" i="20"/>
  <c r="C109" i="20"/>
  <c r="D109" i="20"/>
  <c r="E109" i="20"/>
  <c r="F109" i="20"/>
  <c r="G109" i="20"/>
  <c r="H109" i="20"/>
  <c r="I109" i="20"/>
  <c r="J109" i="20"/>
  <c r="K109" i="20"/>
  <c r="L109" i="20"/>
  <c r="C110" i="20"/>
  <c r="D110" i="20"/>
  <c r="E110" i="20"/>
  <c r="F110" i="20"/>
  <c r="G110" i="20"/>
  <c r="H110" i="20"/>
  <c r="I110" i="20"/>
  <c r="J110" i="20"/>
  <c r="K110" i="20"/>
  <c r="L110" i="20"/>
  <c r="C111" i="20"/>
  <c r="D111" i="20"/>
  <c r="E111" i="20"/>
  <c r="F111" i="20"/>
  <c r="G111" i="20"/>
  <c r="H111" i="20"/>
  <c r="I111" i="20"/>
  <c r="J111" i="20"/>
  <c r="K111" i="20"/>
  <c r="L111" i="20"/>
  <c r="O119" i="27"/>
  <c r="P119" i="27"/>
  <c r="Q119" i="27"/>
  <c r="R119" i="27"/>
  <c r="S119" i="27"/>
  <c r="O120" i="27"/>
  <c r="P120" i="27"/>
  <c r="Q120" i="27"/>
  <c r="R120" i="27"/>
  <c r="S120" i="27"/>
  <c r="O121" i="27"/>
  <c r="P121" i="27"/>
  <c r="Q121" i="27"/>
  <c r="R121" i="27"/>
  <c r="S121" i="27"/>
  <c r="O118" i="27"/>
  <c r="P118" i="27"/>
  <c r="Q118" i="27"/>
  <c r="R118" i="27"/>
  <c r="S118" i="27"/>
  <c r="O117" i="27"/>
  <c r="P117" i="27"/>
  <c r="Q117" i="27"/>
  <c r="R117" i="27"/>
  <c r="S117" i="27"/>
  <c r="O116" i="27"/>
  <c r="P116" i="27"/>
  <c r="Q116" i="27"/>
  <c r="R116" i="27"/>
  <c r="S116" i="27"/>
  <c r="C103" i="20"/>
  <c r="D103" i="20"/>
  <c r="E103" i="20"/>
  <c r="F103" i="20"/>
  <c r="G103" i="20"/>
  <c r="H103" i="20"/>
  <c r="I103" i="20"/>
  <c r="J103" i="20"/>
  <c r="K103" i="20"/>
  <c r="P103" i="20" s="1"/>
  <c r="L103" i="20"/>
  <c r="O113" i="27"/>
  <c r="P113" i="27"/>
  <c r="Q113" i="27"/>
  <c r="R113" i="27"/>
  <c r="S113" i="27"/>
  <c r="C99" i="20"/>
  <c r="D99" i="20"/>
  <c r="E99" i="20"/>
  <c r="F99" i="20"/>
  <c r="G99" i="20"/>
  <c r="H99" i="20"/>
  <c r="I99" i="20"/>
  <c r="J99" i="20"/>
  <c r="K99" i="20"/>
  <c r="L99" i="20"/>
  <c r="O110" i="27"/>
  <c r="P110" i="27"/>
  <c r="Q110" i="27"/>
  <c r="R110" i="27"/>
  <c r="S110" i="27"/>
  <c r="C98" i="20"/>
  <c r="D98" i="20"/>
  <c r="E98" i="20"/>
  <c r="F98" i="20"/>
  <c r="G98" i="20"/>
  <c r="H98" i="20"/>
  <c r="I98" i="20"/>
  <c r="J98" i="20"/>
  <c r="K98" i="20"/>
  <c r="L98" i="20"/>
  <c r="O109" i="27"/>
  <c r="P109" i="27"/>
  <c r="Q109" i="27"/>
  <c r="R109" i="27"/>
  <c r="S109" i="27"/>
  <c r="C96" i="20"/>
  <c r="D96" i="20"/>
  <c r="E96" i="20"/>
  <c r="F96" i="20"/>
  <c r="G96" i="20"/>
  <c r="H96" i="20"/>
  <c r="I96" i="20"/>
  <c r="J96" i="20"/>
  <c r="K96" i="20"/>
  <c r="L96" i="20"/>
  <c r="O107" i="27"/>
  <c r="P107" i="27"/>
  <c r="Q107" i="27"/>
  <c r="R107" i="27"/>
  <c r="S107" i="27"/>
  <c r="C81" i="20"/>
  <c r="D81" i="20"/>
  <c r="E81" i="20"/>
  <c r="F81" i="20"/>
  <c r="G81" i="20"/>
  <c r="H81" i="20"/>
  <c r="I81" i="20"/>
  <c r="J81" i="20"/>
  <c r="K81" i="20"/>
  <c r="L81" i="20"/>
  <c r="O92" i="27"/>
  <c r="P92" i="27"/>
  <c r="Q92" i="27"/>
  <c r="R92" i="27"/>
  <c r="S92" i="27"/>
  <c r="C70" i="20"/>
  <c r="D70" i="20"/>
  <c r="E70" i="20"/>
  <c r="F70" i="20"/>
  <c r="G70" i="20"/>
  <c r="H70" i="20"/>
  <c r="I70" i="20"/>
  <c r="J70" i="20"/>
  <c r="K70" i="20"/>
  <c r="L70" i="20"/>
  <c r="O81" i="27"/>
  <c r="P81" i="27"/>
  <c r="Q81" i="27"/>
  <c r="R81" i="27"/>
  <c r="S81" i="27"/>
  <c r="C61" i="20"/>
  <c r="D61" i="20"/>
  <c r="E61" i="20"/>
  <c r="F61" i="20"/>
  <c r="G61" i="20"/>
  <c r="H61" i="20"/>
  <c r="I61" i="20"/>
  <c r="J61" i="20"/>
  <c r="K61" i="20"/>
  <c r="P61" i="20" s="1"/>
  <c r="L61" i="20"/>
  <c r="O72" i="27"/>
  <c r="P72" i="27"/>
  <c r="Q72" i="27"/>
  <c r="R72" i="27"/>
  <c r="S72" i="27"/>
  <c r="C55" i="20"/>
  <c r="D55" i="20"/>
  <c r="E55" i="20"/>
  <c r="F55" i="20"/>
  <c r="G55" i="20"/>
  <c r="H55" i="20"/>
  <c r="I55" i="20"/>
  <c r="J55" i="20"/>
  <c r="K55" i="20"/>
  <c r="L55" i="20"/>
  <c r="O66" i="27"/>
  <c r="P66" i="27"/>
  <c r="Q66" i="27"/>
  <c r="R66" i="27"/>
  <c r="S66" i="27"/>
  <c r="T107" i="27" l="1"/>
  <c r="T85" i="27"/>
  <c r="T148" i="27"/>
  <c r="M138" i="20"/>
  <c r="Q126" i="20"/>
  <c r="M126" i="20"/>
  <c r="P126" i="20"/>
  <c r="O126" i="20"/>
  <c r="N126" i="20"/>
  <c r="N138" i="20"/>
  <c r="O138" i="20"/>
  <c r="M116" i="20"/>
  <c r="O120" i="20"/>
  <c r="P116" i="20"/>
  <c r="O116" i="20"/>
  <c r="T117" i="27"/>
  <c r="T126" i="27"/>
  <c r="N116" i="20"/>
  <c r="T136" i="27"/>
  <c r="Q116" i="20"/>
  <c r="Q74" i="20"/>
  <c r="P120" i="20"/>
  <c r="Q120" i="20"/>
  <c r="M120" i="20"/>
  <c r="N120" i="20"/>
  <c r="N106" i="20"/>
  <c r="P109" i="20"/>
  <c r="P74" i="20"/>
  <c r="O74" i="20"/>
  <c r="N74" i="20"/>
  <c r="Q106" i="20"/>
  <c r="M106" i="20"/>
  <c r="N111" i="20"/>
  <c r="P106" i="20"/>
  <c r="M74" i="20"/>
  <c r="Q105" i="20"/>
  <c r="T120" i="27"/>
  <c r="M105" i="20"/>
  <c r="Q110" i="20"/>
  <c r="M108" i="20"/>
  <c r="O106" i="20"/>
  <c r="M110" i="20"/>
  <c r="N105" i="20"/>
  <c r="O105" i="20"/>
  <c r="O111" i="20"/>
  <c r="Q111" i="20"/>
  <c r="M111" i="20"/>
  <c r="P107" i="20"/>
  <c r="Q109" i="20"/>
  <c r="N108" i="20"/>
  <c r="O107" i="20"/>
  <c r="Q107" i="20"/>
  <c r="M107" i="20"/>
  <c r="T81" i="27"/>
  <c r="T92" i="27"/>
  <c r="T116" i="27"/>
  <c r="T118" i="27"/>
  <c r="T121" i="27"/>
  <c r="P111" i="20"/>
  <c r="N109" i="20"/>
  <c r="O109" i="20"/>
  <c r="Q108" i="20"/>
  <c r="N107" i="20"/>
  <c r="T110" i="27"/>
  <c r="T119" i="27"/>
  <c r="P110" i="20"/>
  <c r="M109" i="20"/>
  <c r="T109" i="27"/>
  <c r="T113" i="27"/>
  <c r="N110" i="20"/>
  <c r="O110" i="20"/>
  <c r="O108" i="20"/>
  <c r="N98" i="20"/>
  <c r="Q103" i="20"/>
  <c r="M103" i="20"/>
  <c r="N103" i="20"/>
  <c r="O103" i="20"/>
  <c r="M96" i="20"/>
  <c r="N99" i="20"/>
  <c r="Q96" i="20"/>
  <c r="P96" i="20"/>
  <c r="O98" i="20"/>
  <c r="O99" i="20"/>
  <c r="N96" i="20"/>
  <c r="P98" i="20"/>
  <c r="P99" i="20"/>
  <c r="Q99" i="20"/>
  <c r="M99" i="20"/>
  <c r="M81" i="20"/>
  <c r="Q98" i="20"/>
  <c r="M98" i="20"/>
  <c r="O96" i="20"/>
  <c r="O55" i="20"/>
  <c r="Q81" i="20"/>
  <c r="P81" i="20"/>
  <c r="N81" i="20"/>
  <c r="O81" i="20"/>
  <c r="P70" i="20"/>
  <c r="Q61" i="20"/>
  <c r="O70" i="20"/>
  <c r="Q70" i="20"/>
  <c r="M70" i="20"/>
  <c r="N70" i="20"/>
  <c r="N61" i="20"/>
  <c r="O61" i="20"/>
  <c r="M61" i="20"/>
  <c r="T66" i="27"/>
  <c r="T72" i="27"/>
  <c r="P55" i="20"/>
  <c r="Q55" i="20"/>
  <c r="M55" i="20"/>
  <c r="N55" i="20"/>
  <c r="R126" i="20" l="1"/>
  <c r="R138" i="20"/>
  <c r="R116" i="20"/>
  <c r="R120" i="20"/>
  <c r="R74" i="20"/>
  <c r="R106" i="20"/>
  <c r="R105" i="20"/>
  <c r="R108" i="20"/>
  <c r="R107" i="20"/>
  <c r="R111" i="20"/>
  <c r="R110" i="20"/>
  <c r="R109" i="20"/>
  <c r="R103" i="20"/>
  <c r="R96" i="20"/>
  <c r="R99" i="20"/>
  <c r="R98" i="20"/>
  <c r="R81" i="20"/>
  <c r="R61" i="20"/>
  <c r="R70" i="20"/>
  <c r="R55" i="20"/>
  <c r="C44" i="20" l="1"/>
  <c r="D44" i="20"/>
  <c r="E44" i="20"/>
  <c r="F44" i="20"/>
  <c r="G44" i="20"/>
  <c r="H44" i="20"/>
  <c r="I44" i="20"/>
  <c r="J44" i="20"/>
  <c r="K44" i="20"/>
  <c r="P44" i="20" s="1"/>
  <c r="L44" i="20"/>
  <c r="O55" i="27"/>
  <c r="P55" i="27"/>
  <c r="Q55" i="27"/>
  <c r="R55" i="27"/>
  <c r="S55" i="27"/>
  <c r="C26" i="20"/>
  <c r="D26" i="20"/>
  <c r="E26" i="20"/>
  <c r="F26" i="20"/>
  <c r="G26" i="20"/>
  <c r="H26" i="20"/>
  <c r="I26" i="20"/>
  <c r="J26" i="20"/>
  <c r="K26" i="20"/>
  <c r="L26" i="20"/>
  <c r="O37" i="27"/>
  <c r="P37" i="27"/>
  <c r="Q37" i="27"/>
  <c r="R37" i="27"/>
  <c r="S37" i="27"/>
  <c r="C10" i="20"/>
  <c r="D10" i="20"/>
  <c r="E10" i="20"/>
  <c r="F10" i="20"/>
  <c r="G10" i="20"/>
  <c r="H10" i="20"/>
  <c r="I10" i="20"/>
  <c r="J10" i="20"/>
  <c r="K10" i="20"/>
  <c r="L10" i="20"/>
  <c r="O21" i="27"/>
  <c r="P21" i="27"/>
  <c r="Q21" i="27"/>
  <c r="R21" i="27"/>
  <c r="S21" i="27"/>
  <c r="E14" i="20"/>
  <c r="T55" i="27" l="1"/>
  <c r="P26" i="20"/>
  <c r="Q44" i="20"/>
  <c r="T37" i="27"/>
  <c r="T21" i="27"/>
  <c r="Q26" i="20"/>
  <c r="N44" i="20"/>
  <c r="O44" i="20"/>
  <c r="M44" i="20"/>
  <c r="M10" i="20"/>
  <c r="O26" i="20"/>
  <c r="M26" i="20"/>
  <c r="N26" i="20"/>
  <c r="P10" i="20"/>
  <c r="O10" i="20"/>
  <c r="N10" i="20"/>
  <c r="Q10" i="20"/>
  <c r="R10" i="20" l="1"/>
  <c r="R44" i="20"/>
  <c r="R26" i="20"/>
  <c r="C21" i="7" l="1"/>
  <c r="C23" i="7" s="1"/>
  <c r="C31" i="7"/>
  <c r="D23" i="31" s="1"/>
  <c r="D25" i="31" s="1"/>
  <c r="D26" i="31" l="1"/>
  <c r="N132" i="27"/>
  <c r="M132" i="27"/>
  <c r="L132" i="27"/>
  <c r="K132" i="27"/>
  <c r="J132" i="27"/>
  <c r="O73" i="27"/>
  <c r="P73" i="27"/>
  <c r="Q73" i="27"/>
  <c r="R73" i="27"/>
  <c r="S73" i="27"/>
  <c r="N95" i="27"/>
  <c r="M95" i="27"/>
  <c r="L95" i="27"/>
  <c r="K95" i="27"/>
  <c r="J95" i="27"/>
  <c r="N84" i="27"/>
  <c r="M84" i="27"/>
  <c r="L84" i="27"/>
  <c r="K84" i="27"/>
  <c r="J84" i="27"/>
  <c r="C62" i="20"/>
  <c r="D62" i="20"/>
  <c r="E62" i="20"/>
  <c r="F62" i="20"/>
  <c r="G62" i="20"/>
  <c r="H62" i="20"/>
  <c r="I62" i="20"/>
  <c r="J62" i="20"/>
  <c r="K62" i="20"/>
  <c r="L62" i="20"/>
  <c r="N58" i="27"/>
  <c r="M58" i="27"/>
  <c r="L58" i="27"/>
  <c r="K58" i="27"/>
  <c r="J58" i="27"/>
  <c r="N40" i="27"/>
  <c r="M40" i="27"/>
  <c r="L40" i="27"/>
  <c r="K40" i="27"/>
  <c r="J40" i="27"/>
  <c r="C19" i="20"/>
  <c r="D19" i="20"/>
  <c r="E19" i="20"/>
  <c r="F19" i="20"/>
  <c r="G19" i="20"/>
  <c r="H19" i="20"/>
  <c r="I19" i="20"/>
  <c r="J19" i="20"/>
  <c r="K19" i="20"/>
  <c r="L19" i="20"/>
  <c r="O30" i="27"/>
  <c r="P30" i="27"/>
  <c r="Q30" i="27"/>
  <c r="R30" i="27"/>
  <c r="S30" i="27"/>
  <c r="T73" i="27" l="1"/>
  <c r="I41" i="31"/>
  <c r="I43" i="31" s="1"/>
  <c r="Y41" i="31"/>
  <c r="Y43" i="31" s="1"/>
  <c r="AO41" i="31"/>
  <c r="AO43" i="31" s="1"/>
  <c r="R41" i="31"/>
  <c r="R43" i="31" s="1"/>
  <c r="AH41" i="31"/>
  <c r="AH43" i="31" s="1"/>
  <c r="G41" i="31"/>
  <c r="G43" i="31" s="1"/>
  <c r="W41" i="31"/>
  <c r="W43" i="31" s="1"/>
  <c r="AM41" i="31"/>
  <c r="AM43" i="31" s="1"/>
  <c r="P41" i="31"/>
  <c r="P43" i="31" s="1"/>
  <c r="AF41" i="31"/>
  <c r="AF43" i="31" s="1"/>
  <c r="F41" i="31"/>
  <c r="F43" i="31" s="1"/>
  <c r="K41" i="31"/>
  <c r="K43" i="31" s="1"/>
  <c r="AQ41" i="31"/>
  <c r="AQ43" i="31" s="1"/>
  <c r="T41" i="31"/>
  <c r="T43" i="31" s="1"/>
  <c r="AK41" i="31"/>
  <c r="AK43" i="31" s="1"/>
  <c r="AD41" i="31"/>
  <c r="AD43" i="31" s="1"/>
  <c r="AI41" i="31"/>
  <c r="AI43" i="31" s="1"/>
  <c r="AB41" i="31"/>
  <c r="AB43" i="31" s="1"/>
  <c r="M41" i="31"/>
  <c r="M43" i="31" s="1"/>
  <c r="AC41" i="31"/>
  <c r="AC43" i="31" s="1"/>
  <c r="V41" i="31"/>
  <c r="V43" i="31" s="1"/>
  <c r="AL41" i="31"/>
  <c r="AL43" i="31" s="1"/>
  <c r="AA41" i="31"/>
  <c r="AA43" i="31" s="1"/>
  <c r="AJ41" i="31"/>
  <c r="AJ43" i="31" s="1"/>
  <c r="U41" i="31"/>
  <c r="U43" i="31" s="1"/>
  <c r="D41" i="31"/>
  <c r="D45" i="31" s="1"/>
  <c r="L41" i="31"/>
  <c r="L43" i="31" s="1"/>
  <c r="Q41" i="31"/>
  <c r="Q43" i="31" s="1"/>
  <c r="AG41" i="31"/>
  <c r="AG43" i="31" s="1"/>
  <c r="J41" i="31"/>
  <c r="J43" i="31" s="1"/>
  <c r="Z41" i="31"/>
  <c r="Z43" i="31" s="1"/>
  <c r="AP41" i="31"/>
  <c r="AP43" i="31" s="1"/>
  <c r="O41" i="31"/>
  <c r="O43" i="31" s="1"/>
  <c r="AE41" i="31"/>
  <c r="AE43" i="31" s="1"/>
  <c r="H41" i="31"/>
  <c r="H43" i="31" s="1"/>
  <c r="X41" i="31"/>
  <c r="X43" i="31" s="1"/>
  <c r="AN41" i="31"/>
  <c r="AN43" i="31" s="1"/>
  <c r="E41" i="31"/>
  <c r="N41" i="31"/>
  <c r="N43" i="31" s="1"/>
  <c r="S41" i="31"/>
  <c r="S43" i="31" s="1"/>
  <c r="J42" i="31"/>
  <c r="J44" i="31" s="1"/>
  <c r="Z42" i="31"/>
  <c r="Z44" i="31" s="1"/>
  <c r="AP42" i="31"/>
  <c r="AP44" i="31" s="1"/>
  <c r="O42" i="31"/>
  <c r="O44" i="31" s="1"/>
  <c r="AE42" i="31"/>
  <c r="AE44" i="31" s="1"/>
  <c r="H42" i="31"/>
  <c r="H44" i="31" s="1"/>
  <c r="X42" i="31"/>
  <c r="X44" i="31" s="1"/>
  <c r="AN42" i="31"/>
  <c r="AN44" i="31" s="1"/>
  <c r="Q42" i="31"/>
  <c r="Q44" i="31" s="1"/>
  <c r="AG42" i="31"/>
  <c r="AG44" i="31" s="1"/>
  <c r="F42" i="31"/>
  <c r="F44" i="31" s="1"/>
  <c r="K42" i="31"/>
  <c r="K44" i="31" s="1"/>
  <c r="AA42" i="31"/>
  <c r="AA44" i="31" s="1"/>
  <c r="AJ42" i="31"/>
  <c r="AJ44" i="31" s="1"/>
  <c r="AC42" i="31"/>
  <c r="AC44" i="31" s="1"/>
  <c r="N42" i="31"/>
  <c r="N44" i="31" s="1"/>
  <c r="AD42" i="31"/>
  <c r="AD44" i="31" s="1"/>
  <c r="D42" i="31"/>
  <c r="S42" i="31"/>
  <c r="S44" i="31" s="1"/>
  <c r="AI42" i="31"/>
  <c r="AI44" i="31" s="1"/>
  <c r="L42" i="31"/>
  <c r="L44" i="31" s="1"/>
  <c r="AB42" i="31"/>
  <c r="AB44" i="31" s="1"/>
  <c r="E42" i="31"/>
  <c r="E44" i="31" s="1"/>
  <c r="U42" i="31"/>
  <c r="U44" i="31" s="1"/>
  <c r="AK42" i="31"/>
  <c r="AK44" i="31" s="1"/>
  <c r="V42" i="31"/>
  <c r="V44" i="31" s="1"/>
  <c r="T42" i="31"/>
  <c r="T44" i="31" s="1"/>
  <c r="R42" i="31"/>
  <c r="R44" i="31" s="1"/>
  <c r="AH42" i="31"/>
  <c r="AH44" i="31" s="1"/>
  <c r="G42" i="31"/>
  <c r="G44" i="31" s="1"/>
  <c r="W42" i="31"/>
  <c r="W44" i="31" s="1"/>
  <c r="AM42" i="31"/>
  <c r="AM44" i="31" s="1"/>
  <c r="P42" i="31"/>
  <c r="P44" i="31" s="1"/>
  <c r="AF42" i="31"/>
  <c r="AF44" i="31" s="1"/>
  <c r="I42" i="31"/>
  <c r="I44" i="31" s="1"/>
  <c r="Y42" i="31"/>
  <c r="Y44" i="31" s="1"/>
  <c r="AO42" i="31"/>
  <c r="AO44" i="31" s="1"/>
  <c r="AL42" i="31"/>
  <c r="AL44" i="31" s="1"/>
  <c r="AQ42" i="31"/>
  <c r="AQ44" i="31" s="1"/>
  <c r="M42" i="31"/>
  <c r="M44" i="31" s="1"/>
  <c r="O62" i="20"/>
  <c r="T30" i="27"/>
  <c r="N19" i="20"/>
  <c r="M19" i="20"/>
  <c r="N62" i="20"/>
  <c r="M62" i="20"/>
  <c r="Q62" i="20"/>
  <c r="P62" i="20"/>
  <c r="O19" i="20"/>
  <c r="Q19" i="20"/>
  <c r="P19" i="20"/>
  <c r="D46" i="31" l="1"/>
  <c r="D44" i="31"/>
  <c r="E43" i="31"/>
  <c r="D43" i="31"/>
  <c r="R62" i="20"/>
  <c r="R19" i="20"/>
  <c r="D14" i="22"/>
  <c r="D15" i="22"/>
  <c r="L143" i="20" l="1"/>
  <c r="K143" i="20"/>
  <c r="J143" i="20"/>
  <c r="I143" i="20"/>
  <c r="H143" i="20"/>
  <c r="G143" i="20"/>
  <c r="F143" i="20"/>
  <c r="E143" i="20"/>
  <c r="D143" i="20"/>
  <c r="C143" i="20"/>
  <c r="L142" i="20"/>
  <c r="K142" i="20"/>
  <c r="J142" i="20"/>
  <c r="I142" i="20"/>
  <c r="H142" i="20"/>
  <c r="G142" i="20"/>
  <c r="F142" i="20"/>
  <c r="E142" i="20"/>
  <c r="D142" i="20"/>
  <c r="C142" i="20"/>
  <c r="L141" i="20"/>
  <c r="K141" i="20"/>
  <c r="J141" i="20"/>
  <c r="I141" i="20"/>
  <c r="H141" i="20"/>
  <c r="G141" i="20"/>
  <c r="F141" i="20"/>
  <c r="E141" i="20"/>
  <c r="D141" i="20"/>
  <c r="C141" i="20"/>
  <c r="L140" i="20"/>
  <c r="K140" i="20"/>
  <c r="J140" i="20"/>
  <c r="I140" i="20"/>
  <c r="H140" i="20"/>
  <c r="G140" i="20"/>
  <c r="F140" i="20"/>
  <c r="E140" i="20"/>
  <c r="D140" i="20"/>
  <c r="C140" i="20"/>
  <c r="L139" i="20"/>
  <c r="K139" i="20"/>
  <c r="J139" i="20"/>
  <c r="I139" i="20"/>
  <c r="H139" i="20"/>
  <c r="G139" i="20"/>
  <c r="F139" i="20"/>
  <c r="E139" i="20"/>
  <c r="D139" i="20"/>
  <c r="C139" i="20"/>
  <c r="L137" i="20"/>
  <c r="K137" i="20"/>
  <c r="J137" i="20"/>
  <c r="I137" i="20"/>
  <c r="H137" i="20"/>
  <c r="G137" i="20"/>
  <c r="F137" i="20"/>
  <c r="E137" i="20"/>
  <c r="D137" i="20"/>
  <c r="C137" i="20"/>
  <c r="L136" i="20"/>
  <c r="K136" i="20"/>
  <c r="J136" i="20"/>
  <c r="I136" i="20"/>
  <c r="H136" i="20"/>
  <c r="G136" i="20"/>
  <c r="F136" i="20"/>
  <c r="E136" i="20"/>
  <c r="D136" i="20"/>
  <c r="C136" i="20"/>
  <c r="L135" i="20"/>
  <c r="K135" i="20"/>
  <c r="J135" i="20"/>
  <c r="I135" i="20"/>
  <c r="H135" i="20"/>
  <c r="G135" i="20"/>
  <c r="F135" i="20"/>
  <c r="E135" i="20"/>
  <c r="D135" i="20"/>
  <c r="C135" i="20"/>
  <c r="L134" i="20"/>
  <c r="K134" i="20"/>
  <c r="J134" i="20"/>
  <c r="I134" i="20"/>
  <c r="H134" i="20"/>
  <c r="G134" i="20"/>
  <c r="F134" i="20"/>
  <c r="E134" i="20"/>
  <c r="D134" i="20"/>
  <c r="C134" i="20"/>
  <c r="L132" i="20"/>
  <c r="K132" i="20"/>
  <c r="J132" i="20"/>
  <c r="I132" i="20"/>
  <c r="H132" i="20"/>
  <c r="G132" i="20"/>
  <c r="F132" i="20"/>
  <c r="E132" i="20"/>
  <c r="D132" i="20"/>
  <c r="C132" i="20"/>
  <c r="L131" i="20"/>
  <c r="K131" i="20"/>
  <c r="J131" i="20"/>
  <c r="I131" i="20"/>
  <c r="H131" i="20"/>
  <c r="G131" i="20"/>
  <c r="F131" i="20"/>
  <c r="E131" i="20"/>
  <c r="D131" i="20"/>
  <c r="C131" i="20"/>
  <c r="L130" i="20"/>
  <c r="K130" i="20"/>
  <c r="J130" i="20"/>
  <c r="I130" i="20"/>
  <c r="H130" i="20"/>
  <c r="G130" i="20"/>
  <c r="E197" i="20" s="1"/>
  <c r="F130" i="20"/>
  <c r="E130" i="20"/>
  <c r="B197" i="20" s="1"/>
  <c r="D130" i="20"/>
  <c r="C130" i="20"/>
  <c r="L129" i="20"/>
  <c r="K129" i="20"/>
  <c r="J129" i="20"/>
  <c r="I129" i="20"/>
  <c r="H129" i="20"/>
  <c r="G129" i="20"/>
  <c r="F129" i="20"/>
  <c r="E129" i="20"/>
  <c r="D129" i="20"/>
  <c r="C129" i="20"/>
  <c r="L128" i="20"/>
  <c r="K128" i="20"/>
  <c r="J128" i="20"/>
  <c r="I128" i="20"/>
  <c r="H128" i="20"/>
  <c r="G128" i="20"/>
  <c r="F128" i="20"/>
  <c r="E128" i="20"/>
  <c r="D128" i="20"/>
  <c r="C128" i="20"/>
  <c r="L127" i="20"/>
  <c r="K127" i="20"/>
  <c r="J127" i="20"/>
  <c r="I127" i="20"/>
  <c r="H127" i="20"/>
  <c r="G127" i="20"/>
  <c r="F127" i="20"/>
  <c r="E127" i="20"/>
  <c r="D127" i="20"/>
  <c r="C127" i="20"/>
  <c r="L125" i="20"/>
  <c r="K125" i="20"/>
  <c r="J125" i="20"/>
  <c r="I125" i="20"/>
  <c r="H125" i="20"/>
  <c r="G125" i="20"/>
  <c r="F125" i="20"/>
  <c r="E125" i="20"/>
  <c r="D125" i="20"/>
  <c r="C125" i="20"/>
  <c r="L124" i="20"/>
  <c r="K124" i="20"/>
  <c r="J124" i="20"/>
  <c r="I124" i="20"/>
  <c r="H124" i="20"/>
  <c r="G124" i="20"/>
  <c r="F124" i="20"/>
  <c r="E124" i="20"/>
  <c r="D124" i="20"/>
  <c r="C124" i="20"/>
  <c r="L123" i="20"/>
  <c r="K123" i="20"/>
  <c r="J123" i="20"/>
  <c r="I123" i="20"/>
  <c r="H123" i="20"/>
  <c r="G123" i="20"/>
  <c r="F123" i="20"/>
  <c r="E123" i="20"/>
  <c r="D123" i="20"/>
  <c r="C123" i="20"/>
  <c r="G122" i="20"/>
  <c r="F122" i="20"/>
  <c r="E122" i="20"/>
  <c r="D122" i="20"/>
  <c r="C122" i="20"/>
  <c r="L121" i="20"/>
  <c r="K121" i="20"/>
  <c r="J121" i="20"/>
  <c r="I121" i="20"/>
  <c r="H121" i="20"/>
  <c r="G121" i="20"/>
  <c r="F121" i="20"/>
  <c r="E121" i="20"/>
  <c r="D121" i="20"/>
  <c r="C121" i="20"/>
  <c r="L119" i="20"/>
  <c r="K119" i="20"/>
  <c r="J119" i="20"/>
  <c r="I119" i="20"/>
  <c r="H119" i="20"/>
  <c r="G119" i="20"/>
  <c r="F119" i="20"/>
  <c r="E119" i="20"/>
  <c r="D119" i="20"/>
  <c r="C119" i="20"/>
  <c r="L118" i="20"/>
  <c r="K118" i="20"/>
  <c r="J118" i="20"/>
  <c r="I118" i="20"/>
  <c r="H118" i="20"/>
  <c r="G118" i="20"/>
  <c r="F118" i="20"/>
  <c r="E118" i="20"/>
  <c r="D118" i="20"/>
  <c r="C118" i="20"/>
  <c r="L117" i="20"/>
  <c r="K117" i="20"/>
  <c r="J117" i="20"/>
  <c r="I117" i="20"/>
  <c r="H117" i="20"/>
  <c r="G117" i="20"/>
  <c r="F117" i="20"/>
  <c r="E117" i="20"/>
  <c r="D117" i="20"/>
  <c r="C117" i="20"/>
  <c r="L115" i="20"/>
  <c r="K115" i="20"/>
  <c r="J115" i="20"/>
  <c r="I115" i="20"/>
  <c r="H115" i="20"/>
  <c r="G115" i="20"/>
  <c r="F115" i="20"/>
  <c r="E115" i="20"/>
  <c r="D115" i="20"/>
  <c r="C115" i="20"/>
  <c r="L113" i="20"/>
  <c r="K113" i="20"/>
  <c r="J113" i="20"/>
  <c r="I113" i="20"/>
  <c r="H113" i="20"/>
  <c r="G113" i="20"/>
  <c r="F113" i="20"/>
  <c r="E113" i="20"/>
  <c r="D113" i="20"/>
  <c r="C113" i="20"/>
  <c r="L112" i="20"/>
  <c r="K112" i="20"/>
  <c r="J112" i="20"/>
  <c r="I112" i="20"/>
  <c r="H112" i="20"/>
  <c r="G112" i="20"/>
  <c r="F112" i="20"/>
  <c r="E112" i="20"/>
  <c r="D112" i="20"/>
  <c r="C112" i="20"/>
  <c r="L104" i="20"/>
  <c r="K104" i="20"/>
  <c r="J104" i="20"/>
  <c r="I104" i="20"/>
  <c r="H104" i="20"/>
  <c r="G104" i="20"/>
  <c r="F104" i="20"/>
  <c r="E104" i="20"/>
  <c r="D104" i="20"/>
  <c r="C104" i="20"/>
  <c r="L102" i="20"/>
  <c r="K102" i="20"/>
  <c r="J102" i="20"/>
  <c r="I102" i="20"/>
  <c r="H102" i="20"/>
  <c r="G102" i="20"/>
  <c r="F102" i="20"/>
  <c r="E102" i="20"/>
  <c r="D102" i="20"/>
  <c r="C102" i="20"/>
  <c r="L101" i="20"/>
  <c r="K101" i="20"/>
  <c r="J101" i="20"/>
  <c r="I101" i="20"/>
  <c r="H101" i="20"/>
  <c r="G101" i="20"/>
  <c r="F101" i="20"/>
  <c r="E101" i="20"/>
  <c r="D101" i="20"/>
  <c r="C101" i="20"/>
  <c r="L97" i="20"/>
  <c r="K97" i="20"/>
  <c r="J97" i="20"/>
  <c r="I97" i="20"/>
  <c r="H97" i="20"/>
  <c r="G97" i="20"/>
  <c r="F97" i="20"/>
  <c r="E97" i="20"/>
  <c r="D97" i="20"/>
  <c r="C97" i="20"/>
  <c r="L95" i="20"/>
  <c r="K95" i="20"/>
  <c r="J95" i="20"/>
  <c r="I95" i="20"/>
  <c r="H95" i="20"/>
  <c r="G95" i="20"/>
  <c r="F95" i="20"/>
  <c r="E95" i="20"/>
  <c r="D95" i="20"/>
  <c r="C95" i="20"/>
  <c r="F69" i="20"/>
  <c r="L94" i="20"/>
  <c r="K94" i="20"/>
  <c r="J94" i="20"/>
  <c r="I94" i="20"/>
  <c r="H94" i="20"/>
  <c r="G94" i="20"/>
  <c r="F94" i="20"/>
  <c r="E94" i="20"/>
  <c r="D94" i="20"/>
  <c r="C94" i="20"/>
  <c r="L93" i="20"/>
  <c r="K93" i="20"/>
  <c r="J93" i="20"/>
  <c r="I93" i="20"/>
  <c r="H93" i="20"/>
  <c r="G93" i="20"/>
  <c r="F93" i="20"/>
  <c r="E93" i="20"/>
  <c r="D93" i="20"/>
  <c r="C93" i="20"/>
  <c r="L92" i="20"/>
  <c r="K92" i="20"/>
  <c r="J92" i="20"/>
  <c r="I92" i="20"/>
  <c r="H92" i="20"/>
  <c r="G92" i="20"/>
  <c r="F92" i="20"/>
  <c r="E92" i="20"/>
  <c r="D92" i="20"/>
  <c r="C92" i="20"/>
  <c r="L91" i="20"/>
  <c r="K91" i="20"/>
  <c r="J91" i="20"/>
  <c r="I91" i="20"/>
  <c r="H91" i="20"/>
  <c r="G91" i="20"/>
  <c r="F91" i="20"/>
  <c r="E91" i="20"/>
  <c r="D91" i="20"/>
  <c r="C91" i="20"/>
  <c r="L90" i="20"/>
  <c r="K90" i="20"/>
  <c r="J90" i="20"/>
  <c r="I90" i="20"/>
  <c r="H90" i="20"/>
  <c r="G90" i="20"/>
  <c r="F90" i="20"/>
  <c r="E90" i="20"/>
  <c r="D90" i="20"/>
  <c r="C90" i="20"/>
  <c r="L89" i="20"/>
  <c r="K89" i="20"/>
  <c r="J89" i="20"/>
  <c r="I89" i="20"/>
  <c r="H89" i="20"/>
  <c r="G89" i="20"/>
  <c r="F89" i="20"/>
  <c r="E89" i="20"/>
  <c r="D89" i="20"/>
  <c r="C89" i="20"/>
  <c r="L88" i="20"/>
  <c r="K88" i="20"/>
  <c r="J88" i="20"/>
  <c r="I88" i="20"/>
  <c r="H88" i="20"/>
  <c r="G88" i="20"/>
  <c r="F88" i="20"/>
  <c r="E88" i="20"/>
  <c r="B195" i="20" s="1"/>
  <c r="D88" i="20"/>
  <c r="C88" i="20"/>
  <c r="L87" i="20"/>
  <c r="K87" i="20"/>
  <c r="J87" i="20"/>
  <c r="I87" i="20"/>
  <c r="H87" i="20"/>
  <c r="G87" i="20"/>
  <c r="F87" i="20"/>
  <c r="E87" i="20"/>
  <c r="D87" i="20"/>
  <c r="C87" i="20"/>
  <c r="L86" i="20"/>
  <c r="K86" i="20"/>
  <c r="J86" i="20"/>
  <c r="I86" i="20"/>
  <c r="H86" i="20"/>
  <c r="F86" i="20"/>
  <c r="E86" i="20"/>
  <c r="D86" i="20"/>
  <c r="C86" i="20"/>
  <c r="L85" i="20"/>
  <c r="K85" i="20"/>
  <c r="J85" i="20"/>
  <c r="I85" i="20"/>
  <c r="H85" i="20"/>
  <c r="F85" i="20"/>
  <c r="E85" i="20"/>
  <c r="D85" i="20"/>
  <c r="C85" i="20"/>
  <c r="L84" i="20"/>
  <c r="K84" i="20"/>
  <c r="J84" i="20"/>
  <c r="I84" i="20"/>
  <c r="H84" i="20"/>
  <c r="G84" i="20"/>
  <c r="F84" i="20"/>
  <c r="E84" i="20"/>
  <c r="D84" i="20"/>
  <c r="C84" i="20"/>
  <c r="L83" i="20"/>
  <c r="K83" i="20"/>
  <c r="J83" i="20"/>
  <c r="I83" i="20"/>
  <c r="H83" i="20"/>
  <c r="G83" i="20"/>
  <c r="F83" i="20"/>
  <c r="E83" i="20"/>
  <c r="D83" i="20"/>
  <c r="C83" i="20"/>
  <c r="L82" i="20"/>
  <c r="K82" i="20"/>
  <c r="J82" i="20"/>
  <c r="I82" i="20"/>
  <c r="H82" i="20"/>
  <c r="G82" i="20"/>
  <c r="F82" i="20"/>
  <c r="E82" i="20"/>
  <c r="D82" i="20"/>
  <c r="C82" i="20"/>
  <c r="L80" i="20"/>
  <c r="K80" i="20"/>
  <c r="J80" i="20"/>
  <c r="I80" i="20"/>
  <c r="H80" i="20"/>
  <c r="G80" i="20"/>
  <c r="F80" i="20"/>
  <c r="E80" i="20"/>
  <c r="D80" i="20"/>
  <c r="C80" i="20"/>
  <c r="L79" i="20"/>
  <c r="K79" i="20"/>
  <c r="J79" i="20"/>
  <c r="I79" i="20"/>
  <c r="H79" i="20"/>
  <c r="G79" i="20"/>
  <c r="F79" i="20"/>
  <c r="E79" i="20"/>
  <c r="D79" i="20"/>
  <c r="C79" i="20"/>
  <c r="L78" i="20"/>
  <c r="K78" i="20"/>
  <c r="J78" i="20"/>
  <c r="I78" i="20"/>
  <c r="H78" i="20"/>
  <c r="G78" i="20"/>
  <c r="F78" i="20"/>
  <c r="E78" i="20"/>
  <c r="D78" i="20"/>
  <c r="C78" i="20"/>
  <c r="L77" i="20"/>
  <c r="K77" i="20"/>
  <c r="J77" i="20"/>
  <c r="I77" i="20"/>
  <c r="H77" i="20"/>
  <c r="G77" i="20"/>
  <c r="F77" i="20"/>
  <c r="E77" i="20"/>
  <c r="D77" i="20"/>
  <c r="C77" i="20"/>
  <c r="L76" i="20"/>
  <c r="K76" i="20"/>
  <c r="J76" i="20"/>
  <c r="I76" i="20"/>
  <c r="H76" i="20"/>
  <c r="G76" i="20"/>
  <c r="F76" i="20"/>
  <c r="E76" i="20"/>
  <c r="D76" i="20"/>
  <c r="C76" i="20"/>
  <c r="L75" i="20"/>
  <c r="K75" i="20"/>
  <c r="J75" i="20"/>
  <c r="I75" i="20"/>
  <c r="H75" i="20"/>
  <c r="F75" i="20"/>
  <c r="E75" i="20"/>
  <c r="D75" i="20"/>
  <c r="C75" i="20"/>
  <c r="L73" i="20"/>
  <c r="K73" i="20"/>
  <c r="J73" i="20"/>
  <c r="I73" i="20"/>
  <c r="H73" i="20"/>
  <c r="G73" i="20"/>
  <c r="F73" i="20"/>
  <c r="E73" i="20"/>
  <c r="D73" i="20"/>
  <c r="C73" i="20"/>
  <c r="L72" i="20"/>
  <c r="K72" i="20"/>
  <c r="J72" i="20"/>
  <c r="I72" i="20"/>
  <c r="H72" i="20"/>
  <c r="G72" i="20"/>
  <c r="F72" i="20"/>
  <c r="E72" i="20"/>
  <c r="D72" i="20"/>
  <c r="C72" i="20"/>
  <c r="L71" i="20"/>
  <c r="K71" i="20"/>
  <c r="J71" i="20"/>
  <c r="I71" i="20"/>
  <c r="H71" i="20"/>
  <c r="G71" i="20"/>
  <c r="F71" i="20"/>
  <c r="E71" i="20"/>
  <c r="D71" i="20"/>
  <c r="C71" i="20"/>
  <c r="L69" i="20"/>
  <c r="K69" i="20"/>
  <c r="J69" i="20"/>
  <c r="I69" i="20"/>
  <c r="H69" i="20"/>
  <c r="G69" i="20"/>
  <c r="E69" i="20"/>
  <c r="D69" i="20"/>
  <c r="C69" i="20"/>
  <c r="L68" i="20"/>
  <c r="K68" i="20"/>
  <c r="J68" i="20"/>
  <c r="I68" i="20"/>
  <c r="H68" i="20"/>
  <c r="G68" i="20"/>
  <c r="F68" i="20"/>
  <c r="E68" i="20"/>
  <c r="D68" i="20"/>
  <c r="C68" i="20"/>
  <c r="L67" i="20"/>
  <c r="K67" i="20"/>
  <c r="J67" i="20"/>
  <c r="I67" i="20"/>
  <c r="H67" i="20"/>
  <c r="G67" i="20"/>
  <c r="E194" i="20" s="1"/>
  <c r="F67" i="20"/>
  <c r="E67" i="20"/>
  <c r="B194" i="20" s="1"/>
  <c r="D67" i="20"/>
  <c r="C67" i="20"/>
  <c r="L66" i="20"/>
  <c r="K66" i="20"/>
  <c r="J66" i="20"/>
  <c r="I66" i="20"/>
  <c r="H66" i="20"/>
  <c r="G66" i="20"/>
  <c r="E193" i="20" s="1"/>
  <c r="F66" i="20"/>
  <c r="E66" i="20"/>
  <c r="B193" i="20" s="1"/>
  <c r="D66" i="20"/>
  <c r="C66" i="20"/>
  <c r="L65" i="20"/>
  <c r="K65" i="20"/>
  <c r="J65" i="20"/>
  <c r="I65" i="20"/>
  <c r="H65" i="20"/>
  <c r="G65" i="20"/>
  <c r="F65" i="20"/>
  <c r="E65" i="20"/>
  <c r="B196" i="20" s="1"/>
  <c r="D65" i="20"/>
  <c r="C65" i="20"/>
  <c r="L64" i="20"/>
  <c r="K64" i="20"/>
  <c r="J64" i="20"/>
  <c r="I64" i="20"/>
  <c r="H64" i="20"/>
  <c r="F64" i="20"/>
  <c r="E64" i="20"/>
  <c r="D64" i="20"/>
  <c r="C64" i="20"/>
  <c r="L63" i="20"/>
  <c r="K63" i="20"/>
  <c r="J63" i="20"/>
  <c r="I63" i="20"/>
  <c r="H63" i="20"/>
  <c r="G63" i="20"/>
  <c r="F63" i="20"/>
  <c r="E63" i="20"/>
  <c r="D63" i="20"/>
  <c r="C63" i="20"/>
  <c r="L60" i="20"/>
  <c r="K60" i="20"/>
  <c r="J60" i="20"/>
  <c r="I60" i="20"/>
  <c r="H60" i="20"/>
  <c r="G60" i="20"/>
  <c r="F60" i="20"/>
  <c r="E60" i="20"/>
  <c r="D60" i="20"/>
  <c r="C60" i="20"/>
  <c r="C57" i="20"/>
  <c r="D57" i="20"/>
  <c r="E57" i="20"/>
  <c r="F57" i="20"/>
  <c r="G57" i="20"/>
  <c r="H57" i="20"/>
  <c r="I57" i="20"/>
  <c r="J57" i="20"/>
  <c r="K57" i="20"/>
  <c r="L57" i="20"/>
  <c r="C58" i="20"/>
  <c r="D58" i="20"/>
  <c r="E58" i="20"/>
  <c r="F58" i="20"/>
  <c r="G58" i="20"/>
  <c r="H58" i="20"/>
  <c r="I58" i="20"/>
  <c r="J58" i="20"/>
  <c r="K58" i="20"/>
  <c r="L58" i="20"/>
  <c r="C59" i="20"/>
  <c r="D59" i="20"/>
  <c r="E59" i="20"/>
  <c r="F59" i="20"/>
  <c r="G59" i="20"/>
  <c r="H59" i="20"/>
  <c r="I59" i="20"/>
  <c r="J59" i="20"/>
  <c r="K59" i="20"/>
  <c r="L59" i="20"/>
  <c r="L56" i="20"/>
  <c r="K56" i="20"/>
  <c r="J56" i="20"/>
  <c r="I56" i="20"/>
  <c r="H56" i="20"/>
  <c r="F56" i="20"/>
  <c r="E56" i="20"/>
  <c r="D56" i="20"/>
  <c r="C56" i="20"/>
  <c r="L54" i="20"/>
  <c r="K54" i="20"/>
  <c r="J54" i="20"/>
  <c r="I54" i="20"/>
  <c r="H54" i="20"/>
  <c r="G54" i="20"/>
  <c r="F54" i="20"/>
  <c r="E54" i="20"/>
  <c r="D54" i="20"/>
  <c r="C54" i="20"/>
  <c r="C45" i="20"/>
  <c r="D45" i="20"/>
  <c r="E45" i="20"/>
  <c r="F45" i="20"/>
  <c r="G45" i="20"/>
  <c r="H45" i="20"/>
  <c r="I45" i="20"/>
  <c r="J45" i="20"/>
  <c r="K45" i="20"/>
  <c r="P45" i="20" s="1"/>
  <c r="L45" i="20"/>
  <c r="C46" i="20"/>
  <c r="D46" i="20"/>
  <c r="E46" i="20"/>
  <c r="F46" i="20"/>
  <c r="G46" i="20"/>
  <c r="H46" i="20"/>
  <c r="I46" i="20"/>
  <c r="J46" i="20"/>
  <c r="K46" i="20"/>
  <c r="L46" i="20"/>
  <c r="C47" i="20"/>
  <c r="D47" i="20"/>
  <c r="E47" i="20"/>
  <c r="F47" i="20"/>
  <c r="G47" i="20"/>
  <c r="H47" i="20"/>
  <c r="I47" i="20"/>
  <c r="J47" i="20"/>
  <c r="K47" i="20"/>
  <c r="L47" i="20"/>
  <c r="C48" i="20"/>
  <c r="D48" i="20"/>
  <c r="E48" i="20"/>
  <c r="F48" i="20"/>
  <c r="H48" i="20"/>
  <c r="I48" i="20"/>
  <c r="J48" i="20"/>
  <c r="K48" i="20"/>
  <c r="L48" i="20"/>
  <c r="C49" i="20"/>
  <c r="D49" i="20"/>
  <c r="E49" i="20"/>
  <c r="F49" i="20"/>
  <c r="G49" i="20"/>
  <c r="H49" i="20"/>
  <c r="I49" i="20"/>
  <c r="J49" i="20"/>
  <c r="K49" i="20"/>
  <c r="P49" i="20" s="1"/>
  <c r="L49" i="20"/>
  <c r="C50" i="20"/>
  <c r="D50" i="20"/>
  <c r="E50" i="20"/>
  <c r="F50" i="20"/>
  <c r="G50" i="20"/>
  <c r="H50" i="20"/>
  <c r="I50" i="20"/>
  <c r="J50" i="20"/>
  <c r="K50" i="20"/>
  <c r="L50" i="20"/>
  <c r="C51" i="20"/>
  <c r="D51" i="20"/>
  <c r="E51" i="20"/>
  <c r="F51" i="20"/>
  <c r="H51" i="20"/>
  <c r="I51" i="20"/>
  <c r="J51" i="20"/>
  <c r="K51" i="20"/>
  <c r="L51" i="20"/>
  <c r="C52" i="20"/>
  <c r="D52" i="20"/>
  <c r="E52" i="20"/>
  <c r="F52" i="20"/>
  <c r="G52" i="20"/>
  <c r="H52" i="20"/>
  <c r="I52" i="20"/>
  <c r="J52" i="20"/>
  <c r="K52" i="20"/>
  <c r="L52" i="20"/>
  <c r="C53" i="20"/>
  <c r="D53" i="20"/>
  <c r="E53" i="20"/>
  <c r="F53" i="20"/>
  <c r="G53" i="20"/>
  <c r="H53" i="20"/>
  <c r="I53" i="20"/>
  <c r="J53" i="20"/>
  <c r="K53" i="20"/>
  <c r="L53" i="20"/>
  <c r="L43" i="20"/>
  <c r="K43" i="20"/>
  <c r="J43" i="20"/>
  <c r="I43" i="20"/>
  <c r="H43" i="20"/>
  <c r="G43" i="20"/>
  <c r="F43" i="20"/>
  <c r="E43" i="20"/>
  <c r="D43" i="20"/>
  <c r="C43" i="20"/>
  <c r="C31" i="20"/>
  <c r="D31" i="20"/>
  <c r="E31" i="20"/>
  <c r="F31" i="20"/>
  <c r="G31" i="20"/>
  <c r="H31" i="20"/>
  <c r="I31" i="20"/>
  <c r="J31" i="20"/>
  <c r="K31" i="20"/>
  <c r="L31" i="20"/>
  <c r="C32" i="20"/>
  <c r="D32" i="20"/>
  <c r="E32" i="20"/>
  <c r="F32" i="20"/>
  <c r="G32" i="20"/>
  <c r="H32" i="20"/>
  <c r="I32" i="20"/>
  <c r="J32" i="20"/>
  <c r="K32" i="20"/>
  <c r="L32" i="20"/>
  <c r="C33" i="20"/>
  <c r="D33" i="20"/>
  <c r="E33" i="20"/>
  <c r="F33" i="20"/>
  <c r="G33" i="20"/>
  <c r="H33" i="20"/>
  <c r="I33" i="20"/>
  <c r="J33" i="20"/>
  <c r="K33" i="20"/>
  <c r="L33" i="20"/>
  <c r="C34" i="20"/>
  <c r="D34" i="20"/>
  <c r="E34" i="20"/>
  <c r="F34" i="20"/>
  <c r="G34" i="20"/>
  <c r="H34" i="20"/>
  <c r="I34" i="20"/>
  <c r="J34" i="20"/>
  <c r="K34" i="20"/>
  <c r="L34" i="20"/>
  <c r="C35" i="20"/>
  <c r="D35" i="20"/>
  <c r="E35" i="20"/>
  <c r="F35" i="20"/>
  <c r="G35" i="20"/>
  <c r="H35" i="20"/>
  <c r="I35" i="20"/>
  <c r="J35" i="20"/>
  <c r="K35" i="20"/>
  <c r="L35" i="20"/>
  <c r="C36" i="20"/>
  <c r="D36" i="20"/>
  <c r="E36" i="20"/>
  <c r="F36" i="20"/>
  <c r="G36" i="20"/>
  <c r="H36" i="20"/>
  <c r="I36" i="20"/>
  <c r="J36" i="20"/>
  <c r="K36" i="20"/>
  <c r="L36" i="20"/>
  <c r="C37" i="20"/>
  <c r="D37" i="20"/>
  <c r="E37" i="20"/>
  <c r="F37" i="20"/>
  <c r="G37" i="20"/>
  <c r="H37" i="20"/>
  <c r="I37" i="20"/>
  <c r="J37" i="20"/>
  <c r="K37" i="20"/>
  <c r="L37" i="20"/>
  <c r="C38" i="20"/>
  <c r="D38" i="20"/>
  <c r="E38" i="20"/>
  <c r="F38" i="20"/>
  <c r="G38" i="20"/>
  <c r="H38" i="20"/>
  <c r="I38" i="20"/>
  <c r="J38" i="20"/>
  <c r="K38" i="20"/>
  <c r="L38" i="20"/>
  <c r="C39" i="20"/>
  <c r="D39" i="20"/>
  <c r="E39" i="20"/>
  <c r="F39" i="20"/>
  <c r="G39" i="20"/>
  <c r="H39" i="20"/>
  <c r="I39" i="20"/>
  <c r="J39" i="20"/>
  <c r="K39" i="20"/>
  <c r="L39" i="20"/>
  <c r="C40" i="20"/>
  <c r="D40" i="20"/>
  <c r="E40" i="20"/>
  <c r="F40" i="20"/>
  <c r="G40" i="20"/>
  <c r="H40" i="20"/>
  <c r="I40" i="20"/>
  <c r="J40" i="20"/>
  <c r="K40" i="20"/>
  <c r="L40" i="20"/>
  <c r="C41" i="20"/>
  <c r="D41" i="20"/>
  <c r="E41" i="20"/>
  <c r="F41" i="20"/>
  <c r="G41" i="20"/>
  <c r="H41" i="20"/>
  <c r="I41" i="20"/>
  <c r="J41" i="20"/>
  <c r="K41" i="20"/>
  <c r="L41" i="20"/>
  <c r="C42" i="20"/>
  <c r="D42" i="20"/>
  <c r="E42" i="20"/>
  <c r="F42" i="20"/>
  <c r="G42" i="20"/>
  <c r="H42" i="20"/>
  <c r="I42" i="20"/>
  <c r="J42" i="20"/>
  <c r="K42" i="20"/>
  <c r="L42" i="20"/>
  <c r="L30" i="20"/>
  <c r="K30" i="20"/>
  <c r="J30" i="20"/>
  <c r="I30" i="20"/>
  <c r="H30" i="20"/>
  <c r="F30" i="20"/>
  <c r="E30" i="20"/>
  <c r="D30" i="20"/>
  <c r="C30" i="20"/>
  <c r="L29" i="20"/>
  <c r="K29" i="20"/>
  <c r="J29" i="20"/>
  <c r="I29" i="20"/>
  <c r="H29" i="20"/>
  <c r="G29" i="20"/>
  <c r="F29" i="20"/>
  <c r="E29" i="20"/>
  <c r="D29" i="20"/>
  <c r="C29" i="20"/>
  <c r="L28" i="20"/>
  <c r="K28" i="20"/>
  <c r="J28" i="20"/>
  <c r="I28" i="20"/>
  <c r="H28" i="20"/>
  <c r="G28" i="20"/>
  <c r="P28" i="20" s="1"/>
  <c r="F28" i="20"/>
  <c r="E28" i="20"/>
  <c r="D28" i="20"/>
  <c r="C28" i="20"/>
  <c r="L27" i="20"/>
  <c r="K27" i="20"/>
  <c r="J27" i="20"/>
  <c r="I27" i="20"/>
  <c r="H27" i="20"/>
  <c r="G27" i="20"/>
  <c r="F27" i="20"/>
  <c r="E27" i="20"/>
  <c r="D27" i="20"/>
  <c r="C27" i="20"/>
  <c r="L25" i="20"/>
  <c r="K25" i="20"/>
  <c r="J25" i="20"/>
  <c r="I25" i="20"/>
  <c r="H25" i="20"/>
  <c r="G25" i="20"/>
  <c r="P25" i="20" s="1"/>
  <c r="F25" i="20"/>
  <c r="E25" i="20"/>
  <c r="D25" i="20"/>
  <c r="C25" i="20"/>
  <c r="C24" i="20"/>
  <c r="L24" i="20"/>
  <c r="K24" i="20"/>
  <c r="J24" i="20"/>
  <c r="I24" i="20"/>
  <c r="H24" i="20"/>
  <c r="G24" i="20"/>
  <c r="F24" i="20"/>
  <c r="E24" i="20"/>
  <c r="D24" i="20"/>
  <c r="L23" i="20"/>
  <c r="K23" i="20"/>
  <c r="J23" i="20"/>
  <c r="I23" i="20"/>
  <c r="H23" i="20"/>
  <c r="G23" i="20"/>
  <c r="F23" i="20"/>
  <c r="E23" i="20"/>
  <c r="D23" i="20"/>
  <c r="C23" i="20"/>
  <c r="L22" i="20"/>
  <c r="K22" i="20"/>
  <c r="J22" i="20"/>
  <c r="I22" i="20"/>
  <c r="H22" i="20"/>
  <c r="G22" i="20"/>
  <c r="F22" i="20"/>
  <c r="E22" i="20"/>
  <c r="D22" i="20"/>
  <c r="C22" i="20"/>
  <c r="L21" i="20"/>
  <c r="K21" i="20"/>
  <c r="J21" i="20"/>
  <c r="I21" i="20"/>
  <c r="H21" i="20"/>
  <c r="G21" i="20"/>
  <c r="P21" i="20" s="1"/>
  <c r="F21" i="20"/>
  <c r="E21" i="20"/>
  <c r="D21" i="20"/>
  <c r="C21" i="20"/>
  <c r="L20" i="20"/>
  <c r="K20" i="20"/>
  <c r="J20" i="20"/>
  <c r="I20" i="20"/>
  <c r="H20" i="20"/>
  <c r="G20" i="20"/>
  <c r="F20" i="20"/>
  <c r="E20" i="20"/>
  <c r="D20" i="20"/>
  <c r="C20" i="20"/>
  <c r="L18" i="20"/>
  <c r="K18" i="20"/>
  <c r="J18" i="20"/>
  <c r="I18" i="20"/>
  <c r="H18" i="20"/>
  <c r="G18" i="20"/>
  <c r="F18" i="20"/>
  <c r="E18" i="20"/>
  <c r="D18" i="20"/>
  <c r="C18" i="20"/>
  <c r="L17" i="20"/>
  <c r="K17" i="20"/>
  <c r="J17" i="20"/>
  <c r="I17" i="20"/>
  <c r="H17" i="20"/>
  <c r="G17" i="20"/>
  <c r="F17" i="20"/>
  <c r="E17" i="20"/>
  <c r="D17" i="20"/>
  <c r="C17" i="20"/>
  <c r="L16" i="20"/>
  <c r="K16" i="20"/>
  <c r="J16" i="20"/>
  <c r="I16" i="20"/>
  <c r="H16" i="20"/>
  <c r="G16" i="20"/>
  <c r="P16" i="20" s="1"/>
  <c r="F16" i="20"/>
  <c r="E16" i="20"/>
  <c r="D16" i="20"/>
  <c r="C16" i="20"/>
  <c r="L15" i="20"/>
  <c r="K15" i="20"/>
  <c r="J15" i="20"/>
  <c r="I15" i="20"/>
  <c r="H15" i="20"/>
  <c r="G15" i="20"/>
  <c r="F15" i="20"/>
  <c r="E15" i="20"/>
  <c r="D15" i="20"/>
  <c r="C15" i="20"/>
  <c r="L14" i="20"/>
  <c r="K14" i="20"/>
  <c r="J14" i="20"/>
  <c r="I14" i="20"/>
  <c r="H14" i="20"/>
  <c r="F14" i="20"/>
  <c r="D14" i="20"/>
  <c r="C14" i="20"/>
  <c r="G13" i="20"/>
  <c r="F13" i="20"/>
  <c r="E13" i="20"/>
  <c r="D13" i="20"/>
  <c r="C13" i="20"/>
  <c r="L12" i="20"/>
  <c r="K12" i="20"/>
  <c r="J12" i="20"/>
  <c r="I12" i="20"/>
  <c r="H12" i="20"/>
  <c r="G12" i="20"/>
  <c r="P12" i="20" s="1"/>
  <c r="F12" i="20"/>
  <c r="E12" i="20"/>
  <c r="D12" i="20"/>
  <c r="C12" i="20"/>
  <c r="L11" i="20"/>
  <c r="K11" i="20"/>
  <c r="J11" i="20"/>
  <c r="I11" i="20"/>
  <c r="H11" i="20"/>
  <c r="G11" i="20"/>
  <c r="F11" i="20"/>
  <c r="E11" i="20"/>
  <c r="D11" i="20"/>
  <c r="C11" i="20"/>
  <c r="H9" i="20"/>
  <c r="I9" i="20"/>
  <c r="J9" i="20"/>
  <c r="K9" i="20"/>
  <c r="L9" i="20"/>
  <c r="G9" i="20"/>
  <c r="F9" i="20"/>
  <c r="E9" i="20"/>
  <c r="D9" i="20"/>
  <c r="C9" i="20"/>
  <c r="D16" i="22"/>
  <c r="G193" i="20" l="1"/>
  <c r="D12" i="31"/>
  <c r="D13" i="31" s="1"/>
  <c r="G196" i="20"/>
  <c r="F170" i="20"/>
  <c r="I196" i="20"/>
  <c r="N24" i="20"/>
  <c r="N84" i="20"/>
  <c r="G195" i="20"/>
  <c r="N77" i="20"/>
  <c r="N79" i="20"/>
  <c r="N82" i="20"/>
  <c r="O17" i="20"/>
  <c r="O22" i="20"/>
  <c r="N69" i="20"/>
  <c r="N72" i="20"/>
  <c r="P47" i="20"/>
  <c r="P53" i="20"/>
  <c r="I194" i="20"/>
  <c r="Q50" i="20"/>
  <c r="G194" i="20"/>
  <c r="N88" i="20"/>
  <c r="N89" i="20"/>
  <c r="N92" i="20"/>
  <c r="G197" i="20"/>
  <c r="Q41" i="20"/>
  <c r="Q37" i="20"/>
  <c r="Q33" i="20"/>
  <c r="M46" i="20"/>
  <c r="O59" i="20"/>
  <c r="O36" i="20"/>
  <c r="O32" i="20"/>
  <c r="Q45" i="20"/>
  <c r="N95" i="20"/>
  <c r="N101" i="20"/>
  <c r="N104" i="20"/>
  <c r="N119" i="20"/>
  <c r="N124" i="20"/>
  <c r="N130" i="20"/>
  <c r="N135" i="20"/>
  <c r="N137" i="20"/>
  <c r="N140" i="20"/>
  <c r="N142" i="20"/>
  <c r="E195" i="20"/>
  <c r="I195" i="20"/>
  <c r="I197" i="20"/>
  <c r="I193" i="20"/>
  <c r="O28" i="20"/>
  <c r="M49" i="20"/>
  <c r="N93" i="20"/>
  <c r="O39" i="20"/>
  <c r="O35" i="20"/>
  <c r="O31" i="20"/>
  <c r="Q47" i="20"/>
  <c r="O71" i="20"/>
  <c r="Q11" i="20"/>
  <c r="Q15" i="20"/>
  <c r="Q20" i="20"/>
  <c r="Q27" i="20"/>
  <c r="Q29" i="20"/>
  <c r="Q42" i="20"/>
  <c r="M42" i="20"/>
  <c r="Q38" i="20"/>
  <c r="M38" i="20"/>
  <c r="Q34" i="20"/>
  <c r="M34" i="20"/>
  <c r="N47" i="20"/>
  <c r="M53" i="20"/>
  <c r="Q49" i="20"/>
  <c r="M47" i="20"/>
  <c r="P46" i="20"/>
  <c r="O57" i="20"/>
  <c r="N60" i="20"/>
  <c r="N63" i="20"/>
  <c r="N65" i="20"/>
  <c r="N67" i="20"/>
  <c r="M50" i="20"/>
  <c r="O47" i="20"/>
  <c r="Q46" i="20"/>
  <c r="Q53" i="20"/>
  <c r="P50" i="20"/>
  <c r="M45" i="20"/>
  <c r="M31" i="20"/>
  <c r="M52" i="20"/>
  <c r="P42" i="20"/>
  <c r="N40" i="20"/>
  <c r="P38" i="20"/>
  <c r="N36" i="20"/>
  <c r="P34" i="20"/>
  <c r="N32" i="20"/>
  <c r="P31" i="20"/>
  <c r="M35" i="20"/>
  <c r="N37" i="20"/>
  <c r="O40" i="20"/>
  <c r="N53" i="20"/>
  <c r="O53" i="20"/>
  <c r="Q52" i="20"/>
  <c r="N49" i="20"/>
  <c r="O49" i="20"/>
  <c r="N45" i="20"/>
  <c r="O45" i="20"/>
  <c r="N54" i="20"/>
  <c r="O58" i="20"/>
  <c r="N97" i="20"/>
  <c r="N102" i="20"/>
  <c r="N112" i="20"/>
  <c r="N115" i="20"/>
  <c r="N118" i="20"/>
  <c r="N121" i="20"/>
  <c r="N123" i="20"/>
  <c r="N125" i="20"/>
  <c r="N129" i="20"/>
  <c r="N131" i="20"/>
  <c r="N134" i="20"/>
  <c r="N136" i="20"/>
  <c r="N139" i="20"/>
  <c r="N141" i="20"/>
  <c r="O142" i="20"/>
  <c r="O41" i="20"/>
  <c r="O37" i="20"/>
  <c r="O33" i="20"/>
  <c r="O43" i="20"/>
  <c r="N33" i="20"/>
  <c r="Q39" i="20"/>
  <c r="N25" i="20"/>
  <c r="N28" i="20"/>
  <c r="O25" i="20"/>
  <c r="Q31" i="20"/>
  <c r="P35" i="20"/>
  <c r="M39" i="20"/>
  <c r="N41" i="20"/>
  <c r="P52" i="20"/>
  <c r="Q63" i="20"/>
  <c r="Q83" i="20"/>
  <c r="Q87" i="20"/>
  <c r="Q89" i="20"/>
  <c r="Q91" i="20"/>
  <c r="Q93" i="20"/>
  <c r="N143" i="20"/>
  <c r="Q35" i="20"/>
  <c r="P39" i="20"/>
  <c r="O143" i="20"/>
  <c r="P143" i="20"/>
  <c r="M143" i="20"/>
  <c r="Q143" i="20"/>
  <c r="O136" i="20"/>
  <c r="O137" i="20"/>
  <c r="O140" i="20"/>
  <c r="P137" i="20"/>
  <c r="P139" i="20"/>
  <c r="P141" i="20"/>
  <c r="M136" i="20"/>
  <c r="Q136" i="20"/>
  <c r="M137" i="20"/>
  <c r="Q137" i="20"/>
  <c r="M139" i="20"/>
  <c r="Q139" i="20"/>
  <c r="M140" i="20"/>
  <c r="Q140" i="20"/>
  <c r="M141" i="20"/>
  <c r="Q141" i="20"/>
  <c r="M142" i="20"/>
  <c r="Q142" i="20"/>
  <c r="O139" i="20"/>
  <c r="O141" i="20"/>
  <c r="P136" i="20"/>
  <c r="P140" i="20"/>
  <c r="P142" i="20"/>
  <c r="O135" i="20"/>
  <c r="P134" i="20"/>
  <c r="P135" i="20"/>
  <c r="M134" i="20"/>
  <c r="Q134" i="20"/>
  <c r="M135" i="20"/>
  <c r="Q135" i="20"/>
  <c r="O134" i="20"/>
  <c r="N27" i="20"/>
  <c r="N29" i="20"/>
  <c r="P43" i="20"/>
  <c r="O29" i="20"/>
  <c r="N34" i="20"/>
  <c r="M43" i="20"/>
  <c r="Q90" i="20"/>
  <c r="Q94" i="20"/>
  <c r="N113" i="20"/>
  <c r="N117" i="20"/>
  <c r="O125" i="20"/>
  <c r="O27" i="20"/>
  <c r="P32" i="20"/>
  <c r="P36" i="20"/>
  <c r="N38" i="20"/>
  <c r="P40" i="20"/>
  <c r="N42" i="20"/>
  <c r="Q43" i="20"/>
  <c r="N23" i="20"/>
  <c r="P17" i="20"/>
  <c r="M25" i="20"/>
  <c r="Q25" i="20"/>
  <c r="P27" i="20"/>
  <c r="M28" i="20"/>
  <c r="Q28" i="20"/>
  <c r="P29" i="20"/>
  <c r="N31" i="20"/>
  <c r="M32" i="20"/>
  <c r="Q32" i="20"/>
  <c r="P33" i="20"/>
  <c r="O34" i="20"/>
  <c r="N35" i="20"/>
  <c r="M36" i="20"/>
  <c r="Q36" i="20"/>
  <c r="P37" i="20"/>
  <c r="O38" i="20"/>
  <c r="N39" i="20"/>
  <c r="M40" i="20"/>
  <c r="Q40" i="20"/>
  <c r="P41" i="20"/>
  <c r="O42" i="20"/>
  <c r="N43" i="20"/>
  <c r="N52" i="20"/>
  <c r="O52" i="20"/>
  <c r="N50" i="20"/>
  <c r="O50" i="20"/>
  <c r="N46" i="20"/>
  <c r="O46" i="20"/>
  <c r="P59" i="20"/>
  <c r="N71" i="20"/>
  <c r="N83" i="20"/>
  <c r="N87" i="20"/>
  <c r="N91" i="20"/>
  <c r="N127" i="20"/>
  <c r="N128" i="20"/>
  <c r="O129" i="20"/>
  <c r="O9" i="20"/>
  <c r="N11" i="20"/>
  <c r="N15" i="20"/>
  <c r="N18" i="20"/>
  <c r="N20" i="20"/>
  <c r="Q24" i="20"/>
  <c r="P22" i="20"/>
  <c r="M27" i="20"/>
  <c r="M29" i="20"/>
  <c r="M33" i="20"/>
  <c r="M37" i="20"/>
  <c r="M41" i="20"/>
  <c r="P57" i="20"/>
  <c r="N66" i="20"/>
  <c r="N68" i="20"/>
  <c r="N73" i="20"/>
  <c r="N76" i="20"/>
  <c r="N78" i="20"/>
  <c r="N80" i="20"/>
  <c r="O82" i="20"/>
  <c r="Q84" i="20"/>
  <c r="Q88" i="20"/>
  <c r="N90" i="20"/>
  <c r="Q92" i="20"/>
  <c r="N94" i="20"/>
  <c r="N132" i="20"/>
  <c r="O130" i="20"/>
  <c r="O132" i="20"/>
  <c r="P130" i="20"/>
  <c r="P131" i="20"/>
  <c r="P132" i="20"/>
  <c r="O131" i="20"/>
  <c r="M130" i="20"/>
  <c r="Q130" i="20"/>
  <c r="M131" i="20"/>
  <c r="Q131" i="20"/>
  <c r="M132" i="20"/>
  <c r="Q132" i="20"/>
  <c r="P128" i="20"/>
  <c r="P129" i="20"/>
  <c r="O128" i="20"/>
  <c r="M128" i="20"/>
  <c r="Q128" i="20"/>
  <c r="M129" i="20"/>
  <c r="Q129" i="20"/>
  <c r="O127" i="20"/>
  <c r="P127" i="20"/>
  <c r="M127" i="20"/>
  <c r="Q127" i="20"/>
  <c r="P124" i="20"/>
  <c r="P125" i="20"/>
  <c r="O124" i="20"/>
  <c r="M124" i="20"/>
  <c r="Q124" i="20"/>
  <c r="M125" i="20"/>
  <c r="Q125" i="20"/>
  <c r="O121" i="20"/>
  <c r="O123" i="20"/>
  <c r="P121" i="20"/>
  <c r="P123" i="20"/>
  <c r="M121" i="20"/>
  <c r="Q121" i="20"/>
  <c r="M123" i="20"/>
  <c r="Q123" i="20"/>
  <c r="O118" i="20"/>
  <c r="O119" i="20"/>
  <c r="P118" i="20"/>
  <c r="P119" i="20"/>
  <c r="M118" i="20"/>
  <c r="Q118" i="20"/>
  <c r="M119" i="20"/>
  <c r="Q119" i="20"/>
  <c r="O115" i="20"/>
  <c r="O117" i="20"/>
  <c r="P115" i="20"/>
  <c r="P117" i="20"/>
  <c r="M115" i="20"/>
  <c r="Q115" i="20"/>
  <c r="M117" i="20"/>
  <c r="Q117" i="20"/>
  <c r="O112" i="20"/>
  <c r="O113" i="20"/>
  <c r="P112" i="20"/>
  <c r="P113" i="20"/>
  <c r="M113" i="20"/>
  <c r="Q113" i="20"/>
  <c r="M112" i="20"/>
  <c r="Q112" i="20"/>
  <c r="O102" i="20"/>
  <c r="O104" i="20"/>
  <c r="P102" i="20"/>
  <c r="P104" i="20"/>
  <c r="M102" i="20"/>
  <c r="Q102" i="20"/>
  <c r="M104" i="20"/>
  <c r="Q104" i="20"/>
  <c r="O101" i="20"/>
  <c r="P101" i="20"/>
  <c r="M101" i="20"/>
  <c r="Q101" i="20"/>
  <c r="O97" i="20"/>
  <c r="P97" i="20"/>
  <c r="M97" i="20"/>
  <c r="Q97" i="20"/>
  <c r="O95" i="20"/>
  <c r="P95" i="20"/>
  <c r="M95" i="20"/>
  <c r="Q95" i="20"/>
  <c r="O87" i="20"/>
  <c r="O89" i="20"/>
  <c r="O91" i="20"/>
  <c r="O94" i="20"/>
  <c r="P83" i="20"/>
  <c r="P84" i="20"/>
  <c r="P87" i="20"/>
  <c r="P88" i="20"/>
  <c r="P89" i="20"/>
  <c r="P90" i="20"/>
  <c r="P91" i="20"/>
  <c r="P92" i="20"/>
  <c r="P93" i="20"/>
  <c r="P94" i="20"/>
  <c r="O83" i="20"/>
  <c r="O84" i="20"/>
  <c r="O88" i="20"/>
  <c r="O90" i="20"/>
  <c r="O92" i="20"/>
  <c r="O93" i="20"/>
  <c r="M83" i="20"/>
  <c r="M84" i="20"/>
  <c r="M87" i="20"/>
  <c r="M88" i="20"/>
  <c r="M89" i="20"/>
  <c r="M90" i="20"/>
  <c r="M91" i="20"/>
  <c r="M92" i="20"/>
  <c r="M93" i="20"/>
  <c r="M94" i="20"/>
  <c r="P82" i="20"/>
  <c r="M82" i="20"/>
  <c r="Q82" i="20"/>
  <c r="O80" i="20"/>
  <c r="P80" i="20"/>
  <c r="M80" i="20"/>
  <c r="Q80" i="20"/>
  <c r="O76" i="20"/>
  <c r="O79" i="20"/>
  <c r="P72" i="20"/>
  <c r="P73" i="20"/>
  <c r="P76" i="20"/>
  <c r="P77" i="20"/>
  <c r="P78" i="20"/>
  <c r="P79" i="20"/>
  <c r="O72" i="20"/>
  <c r="O77" i="20"/>
  <c r="M72" i="20"/>
  <c r="Q72" i="20"/>
  <c r="M73" i="20"/>
  <c r="Q73" i="20"/>
  <c r="M76" i="20"/>
  <c r="Q76" i="20"/>
  <c r="M77" i="20"/>
  <c r="Q77" i="20"/>
  <c r="M78" i="20"/>
  <c r="Q78" i="20"/>
  <c r="M79" i="20"/>
  <c r="Q79" i="20"/>
  <c r="O73" i="20"/>
  <c r="O78" i="20"/>
  <c r="P71" i="20"/>
  <c r="M71" i="20"/>
  <c r="Q71" i="20"/>
  <c r="O69" i="20"/>
  <c r="P69" i="20"/>
  <c r="M69" i="20"/>
  <c r="Q69" i="20"/>
  <c r="O65" i="20"/>
  <c r="O66" i="20"/>
  <c r="O68" i="20"/>
  <c r="P65" i="20"/>
  <c r="P66" i="20"/>
  <c r="P67" i="20"/>
  <c r="P68" i="20"/>
  <c r="O67" i="20"/>
  <c r="M65" i="20"/>
  <c r="Q65" i="20"/>
  <c r="M66" i="20"/>
  <c r="Q66" i="20"/>
  <c r="M67" i="20"/>
  <c r="Q67" i="20"/>
  <c r="M68" i="20"/>
  <c r="Q68" i="20"/>
  <c r="O63" i="20"/>
  <c r="P63" i="20"/>
  <c r="M63" i="20"/>
  <c r="O60" i="20"/>
  <c r="P60" i="20"/>
  <c r="M60" i="20"/>
  <c r="Q60" i="20"/>
  <c r="Q59" i="20"/>
  <c r="M59" i="20"/>
  <c r="Q58" i="20"/>
  <c r="M58" i="20"/>
  <c r="Q57" i="20"/>
  <c r="M57" i="20"/>
  <c r="N59" i="20"/>
  <c r="N58" i="20"/>
  <c r="N57" i="20"/>
  <c r="P58" i="20"/>
  <c r="O54" i="20"/>
  <c r="P54" i="20"/>
  <c r="M54" i="20"/>
  <c r="Q54" i="20"/>
  <c r="Q16" i="20"/>
  <c r="Q21" i="20"/>
  <c r="O23" i="20"/>
  <c r="Q9" i="20"/>
  <c r="O11" i="20"/>
  <c r="N12" i="20"/>
  <c r="O15" i="20"/>
  <c r="N16" i="20"/>
  <c r="M17" i="20"/>
  <c r="Q17" i="20"/>
  <c r="P18" i="20"/>
  <c r="O20" i="20"/>
  <c r="N21" i="20"/>
  <c r="M22" i="20"/>
  <c r="Q22" i="20"/>
  <c r="P23" i="20"/>
  <c r="O24" i="20"/>
  <c r="M12" i="20"/>
  <c r="M16" i="20"/>
  <c r="M21" i="20"/>
  <c r="P11" i="20"/>
  <c r="O12" i="20"/>
  <c r="P15" i="20"/>
  <c r="O16" i="20"/>
  <c r="N17" i="20"/>
  <c r="M18" i="20"/>
  <c r="Q18" i="20"/>
  <c r="P20" i="20"/>
  <c r="O21" i="20"/>
  <c r="N22" i="20"/>
  <c r="M23" i="20"/>
  <c r="Q23" i="20"/>
  <c r="P24" i="20"/>
  <c r="P9" i="20"/>
  <c r="Q12" i="20"/>
  <c r="O18" i="20"/>
  <c r="N9" i="20"/>
  <c r="M11" i="20"/>
  <c r="M15" i="20"/>
  <c r="M20" i="20"/>
  <c r="M24" i="20"/>
  <c r="E14" i="6"/>
  <c r="D28" i="31" l="1"/>
  <c r="I49" i="31"/>
  <c r="I51" i="31" s="1"/>
  <c r="D69" i="31"/>
  <c r="E49" i="31"/>
  <c r="E51" i="31" s="1"/>
  <c r="Y49" i="31"/>
  <c r="Y51" i="31" s="1"/>
  <c r="AO49" i="31"/>
  <c r="AO51" i="31" s="1"/>
  <c r="F49" i="31"/>
  <c r="F51" i="31" s="1"/>
  <c r="V49" i="31"/>
  <c r="V51" i="31" s="1"/>
  <c r="AL49" i="31"/>
  <c r="AL51" i="31" s="1"/>
  <c r="AF49" i="31"/>
  <c r="AF51" i="31" s="1"/>
  <c r="O49" i="31"/>
  <c r="O51" i="31" s="1"/>
  <c r="AE49" i="31"/>
  <c r="AE51" i="31" s="1"/>
  <c r="H49" i="31"/>
  <c r="H51" i="31" s="1"/>
  <c r="M49" i="31"/>
  <c r="M51" i="31" s="1"/>
  <c r="AC49" i="31"/>
  <c r="AC51" i="31" s="1"/>
  <c r="P49" i="31"/>
  <c r="P51" i="31" s="1"/>
  <c r="J49" i="31"/>
  <c r="J51" i="31" s="1"/>
  <c r="Z49" i="31"/>
  <c r="Z51" i="31" s="1"/>
  <c r="AP49" i="31"/>
  <c r="AP51" i="31" s="1"/>
  <c r="AN49" i="31"/>
  <c r="AN51" i="31" s="1"/>
  <c r="AI49" i="31"/>
  <c r="AI51" i="31" s="1"/>
  <c r="AJ49" i="31"/>
  <c r="AJ51" i="31" s="1"/>
  <c r="Q49" i="31"/>
  <c r="Q51" i="31" s="1"/>
  <c r="AG49" i="31"/>
  <c r="AG51" i="31" s="1"/>
  <c r="N49" i="31"/>
  <c r="N51" i="31" s="1"/>
  <c r="AD49" i="31"/>
  <c r="AD51" i="31" s="1"/>
  <c r="G49" i="31"/>
  <c r="G51" i="31" s="1"/>
  <c r="AM49" i="31"/>
  <c r="AM51" i="31" s="1"/>
  <c r="U49" i="31"/>
  <c r="U51" i="31" s="1"/>
  <c r="AK49" i="31"/>
  <c r="AK51" i="31" s="1"/>
  <c r="AB49" i="31"/>
  <c r="AB51" i="31" s="1"/>
  <c r="R49" i="31"/>
  <c r="R51" i="31" s="1"/>
  <c r="AH49" i="31"/>
  <c r="AH51" i="31" s="1"/>
  <c r="X49" i="31"/>
  <c r="X51" i="31" s="1"/>
  <c r="K49" i="31"/>
  <c r="K51" i="31" s="1"/>
  <c r="AA49" i="31"/>
  <c r="AA51" i="31" s="1"/>
  <c r="AQ49" i="31"/>
  <c r="AQ51" i="31" s="1"/>
  <c r="S49" i="31"/>
  <c r="S51" i="31" s="1"/>
  <c r="T49" i="31"/>
  <c r="T51" i="31" s="1"/>
  <c r="L49" i="31"/>
  <c r="L51" i="31" s="1"/>
  <c r="W49" i="31"/>
  <c r="W51" i="31" s="1"/>
  <c r="D49" i="31"/>
  <c r="D51" i="31" s="1"/>
  <c r="D57" i="31" s="1"/>
  <c r="M152" i="20"/>
  <c r="P152" i="20"/>
  <c r="R49" i="20"/>
  <c r="Q152" i="20"/>
  <c r="Q151" i="20"/>
  <c r="O152" i="20"/>
  <c r="N152" i="20"/>
  <c r="M151" i="20"/>
  <c r="P151" i="20"/>
  <c r="R45" i="20"/>
  <c r="R50" i="20"/>
  <c r="R53" i="20"/>
  <c r="R47" i="20"/>
  <c r="N151" i="20"/>
  <c r="O151" i="20"/>
  <c r="P145" i="20"/>
  <c r="Q145" i="20"/>
  <c r="N145" i="20"/>
  <c r="O145" i="20"/>
  <c r="M145" i="20"/>
  <c r="R46" i="20"/>
  <c r="R38" i="20"/>
  <c r="R39" i="20"/>
  <c r="R11" i="20"/>
  <c r="R63" i="20"/>
  <c r="R91" i="20"/>
  <c r="R87" i="20"/>
  <c r="R31" i="20"/>
  <c r="R27" i="20"/>
  <c r="R34" i="20"/>
  <c r="R77" i="20"/>
  <c r="R118" i="20"/>
  <c r="R124" i="20"/>
  <c r="R37" i="20"/>
  <c r="R52" i="20"/>
  <c r="R35" i="20"/>
  <c r="R32" i="20"/>
  <c r="R25" i="20"/>
  <c r="R42" i="20"/>
  <c r="F171" i="20" s="1"/>
  <c r="R33" i="20"/>
  <c r="R134" i="20"/>
  <c r="R143" i="20"/>
  <c r="R136" i="20"/>
  <c r="R141" i="20"/>
  <c r="E185" i="20" s="1"/>
  <c r="D34" i="23" s="1"/>
  <c r="R139" i="20"/>
  <c r="R142" i="20"/>
  <c r="R140" i="20"/>
  <c r="R137" i="20"/>
  <c r="R135" i="20"/>
  <c r="R24" i="20"/>
  <c r="R94" i="20"/>
  <c r="R90" i="20"/>
  <c r="R28" i="20"/>
  <c r="R43" i="20"/>
  <c r="R57" i="20"/>
  <c r="R59" i="20"/>
  <c r="R79" i="20"/>
  <c r="R72" i="20"/>
  <c r="R29" i="20"/>
  <c r="R40" i="20"/>
  <c r="R15" i="20"/>
  <c r="R128" i="20"/>
  <c r="R41" i="20"/>
  <c r="R36" i="20"/>
  <c r="R132" i="20"/>
  <c r="R130" i="20"/>
  <c r="R131" i="20"/>
  <c r="R129" i="20"/>
  <c r="R127" i="20"/>
  <c r="R125" i="20"/>
  <c r="R119" i="20"/>
  <c r="R123" i="20"/>
  <c r="R121" i="20"/>
  <c r="R117" i="20"/>
  <c r="R115" i="20"/>
  <c r="R112" i="20"/>
  <c r="R113" i="20"/>
  <c r="R104" i="20"/>
  <c r="R102" i="20"/>
  <c r="R101" i="20"/>
  <c r="R97" i="20"/>
  <c r="R95" i="20"/>
  <c r="R67" i="20"/>
  <c r="R65" i="20"/>
  <c r="R69" i="20"/>
  <c r="R89" i="20"/>
  <c r="R92" i="20"/>
  <c r="R88" i="20"/>
  <c r="R84" i="20"/>
  <c r="R93" i="20"/>
  <c r="R83" i="20"/>
  <c r="R82" i="20"/>
  <c r="R80" i="20"/>
  <c r="R78" i="20"/>
  <c r="R76" i="20"/>
  <c r="R73" i="20"/>
  <c r="R71" i="20"/>
  <c r="R66" i="20"/>
  <c r="R68" i="20"/>
  <c r="R60" i="20"/>
  <c r="R58" i="20"/>
  <c r="R54" i="20"/>
  <c r="R16" i="20"/>
  <c r="R23" i="20"/>
  <c r="R12" i="20"/>
  <c r="R22" i="20"/>
  <c r="R21" i="20"/>
  <c r="R20" i="20"/>
  <c r="R18" i="20"/>
  <c r="R17" i="20"/>
  <c r="D55" i="31" l="1"/>
  <c r="D56" i="31"/>
  <c r="D54" i="31"/>
  <c r="S54" i="31"/>
  <c r="S55" i="31"/>
  <c r="AK54" i="31"/>
  <c r="AK55" i="31"/>
  <c r="AD54" i="31"/>
  <c r="AD55" i="31"/>
  <c r="AJ54" i="31"/>
  <c r="AJ55" i="31"/>
  <c r="Z55" i="31"/>
  <c r="Z54" i="31"/>
  <c r="M54" i="31"/>
  <c r="M55" i="31"/>
  <c r="AF55" i="31"/>
  <c r="AF54" i="31"/>
  <c r="AO54" i="31"/>
  <c r="AO55" i="31"/>
  <c r="I54" i="31"/>
  <c r="I55" i="31"/>
  <c r="W54" i="31"/>
  <c r="W55" i="31"/>
  <c r="AQ55" i="31"/>
  <c r="AQ54" i="31"/>
  <c r="AH54" i="31"/>
  <c r="AH55" i="31"/>
  <c r="U55" i="31"/>
  <c r="U54" i="31"/>
  <c r="N54" i="31"/>
  <c r="N55" i="31"/>
  <c r="AI55" i="31"/>
  <c r="AI54" i="31"/>
  <c r="J55" i="31"/>
  <c r="J54" i="31"/>
  <c r="H55" i="31"/>
  <c r="H54" i="31"/>
  <c r="AL54" i="31"/>
  <c r="AL55" i="31"/>
  <c r="Y54" i="31"/>
  <c r="Y55" i="31"/>
  <c r="D30" i="31"/>
  <c r="D31" i="31"/>
  <c r="L54" i="31"/>
  <c r="L55" i="31"/>
  <c r="AA55" i="31"/>
  <c r="AA54" i="31"/>
  <c r="R55" i="31"/>
  <c r="R54" i="31"/>
  <c r="AM55" i="31"/>
  <c r="AM54" i="31"/>
  <c r="AG55" i="31"/>
  <c r="AG54" i="31"/>
  <c r="AN54" i="31"/>
  <c r="AN55" i="31"/>
  <c r="P55" i="31"/>
  <c r="P54" i="31"/>
  <c r="AE55" i="31"/>
  <c r="AE54" i="31"/>
  <c r="V54" i="31"/>
  <c r="V55" i="31"/>
  <c r="E55" i="31"/>
  <c r="E54" i="31"/>
  <c r="X54" i="31"/>
  <c r="X55" i="31"/>
  <c r="T55" i="31"/>
  <c r="T54" i="31"/>
  <c r="K55" i="31"/>
  <c r="K54" i="31"/>
  <c r="AB54" i="31"/>
  <c r="AB55" i="31"/>
  <c r="G55" i="31"/>
  <c r="G54" i="31"/>
  <c r="Q55" i="31"/>
  <c r="Q54" i="31"/>
  <c r="AP54" i="31"/>
  <c r="AP55" i="31"/>
  <c r="AC54" i="31"/>
  <c r="AC55" i="31"/>
  <c r="O54" i="31"/>
  <c r="O55" i="31"/>
  <c r="F55" i="31"/>
  <c r="F54" i="31"/>
  <c r="E170" i="20"/>
  <c r="R145" i="20"/>
  <c r="E177" i="20"/>
  <c r="E178" i="20"/>
  <c r="E179" i="20"/>
  <c r="E180" i="20"/>
  <c r="E181" i="20"/>
  <c r="E182" i="20"/>
  <c r="E183" i="20"/>
  <c r="F180" i="20"/>
  <c r="F183" i="20"/>
  <c r="F184" i="20"/>
  <c r="F176" i="20"/>
  <c r="E30" i="26" l="1"/>
  <c r="V13" i="13"/>
  <c r="V14" i="13"/>
  <c r="V15" i="13"/>
  <c r="V16" i="13"/>
  <c r="V17" i="13"/>
  <c r="V18" i="13"/>
  <c r="V19" i="13"/>
  <c r="V20" i="13"/>
  <c r="V21" i="13"/>
  <c r="V22" i="13"/>
  <c r="V23" i="13"/>
  <c r="V24" i="13"/>
  <c r="V12" i="13"/>
  <c r="B14" i="13" l="1"/>
  <c r="B11" i="13"/>
  <c r="B9" i="13"/>
  <c r="B38" i="23" l="1"/>
  <c r="D26" i="23" l="1"/>
  <c r="D27" i="23"/>
  <c r="D28" i="23"/>
  <c r="D29" i="23"/>
  <c r="D30" i="23"/>
  <c r="D31" i="23"/>
  <c r="D32" i="23"/>
  <c r="B13" i="23"/>
  <c r="B12" i="23"/>
  <c r="B11" i="23"/>
  <c r="B10" i="23"/>
  <c r="B185" i="20"/>
  <c r="B34" i="23" s="1"/>
  <c r="B184" i="20"/>
  <c r="B33" i="23" s="1"/>
  <c r="B183" i="20"/>
  <c r="B32" i="23" s="1"/>
  <c r="B182" i="20"/>
  <c r="B31" i="23" s="1"/>
  <c r="B181" i="20"/>
  <c r="B30" i="23" s="1"/>
  <c r="B180" i="20"/>
  <c r="B29" i="23" s="1"/>
  <c r="B179" i="20"/>
  <c r="B28" i="23" s="1"/>
  <c r="B178" i="20"/>
  <c r="B27" i="23" s="1"/>
  <c r="B177" i="20"/>
  <c r="B26" i="23" s="1"/>
  <c r="B176" i="20"/>
  <c r="B25" i="23" s="1"/>
  <c r="B175" i="20"/>
  <c r="B24" i="23" s="1"/>
  <c r="B174" i="20"/>
  <c r="B23" i="23" s="1"/>
  <c r="B173" i="20"/>
  <c r="B22" i="23" s="1"/>
  <c r="B172" i="20"/>
  <c r="B21" i="23" s="1"/>
  <c r="B171" i="20"/>
  <c r="B20" i="23" s="1"/>
  <c r="B170" i="20"/>
  <c r="B19" i="23" s="1"/>
  <c r="P71" i="27"/>
  <c r="M9" i="20"/>
  <c r="T163" i="27"/>
  <c r="S154" i="27"/>
  <c r="R154" i="27"/>
  <c r="Q154" i="27"/>
  <c r="P154" i="27"/>
  <c r="O154" i="27"/>
  <c r="S153" i="27"/>
  <c r="R153" i="27"/>
  <c r="Q153" i="27"/>
  <c r="P153" i="27"/>
  <c r="O153" i="27"/>
  <c r="S152" i="27"/>
  <c r="R152" i="27"/>
  <c r="Q152" i="27"/>
  <c r="P152" i="27"/>
  <c r="O152" i="27"/>
  <c r="S151" i="27"/>
  <c r="R151" i="27"/>
  <c r="Q151" i="27"/>
  <c r="P151" i="27"/>
  <c r="O151" i="27"/>
  <c r="S150" i="27"/>
  <c r="R150" i="27"/>
  <c r="Q150" i="27"/>
  <c r="P150" i="27"/>
  <c r="O150" i="27"/>
  <c r="S149" i="27"/>
  <c r="R149" i="27"/>
  <c r="Q149" i="27"/>
  <c r="P149" i="27"/>
  <c r="O149" i="27"/>
  <c r="S147" i="27"/>
  <c r="R147" i="27"/>
  <c r="Q147" i="27"/>
  <c r="P147" i="27"/>
  <c r="O147" i="27"/>
  <c r="S146" i="27"/>
  <c r="R146" i="27"/>
  <c r="Q146" i="27"/>
  <c r="P146" i="27"/>
  <c r="O146" i="27"/>
  <c r="S145" i="27"/>
  <c r="R145" i="27"/>
  <c r="Q145" i="27"/>
  <c r="P145" i="27"/>
  <c r="O145" i="27"/>
  <c r="S144" i="27"/>
  <c r="R144" i="27"/>
  <c r="Q144" i="27"/>
  <c r="P144" i="27"/>
  <c r="O144" i="27"/>
  <c r="S142" i="27"/>
  <c r="R142" i="27"/>
  <c r="Q142" i="27"/>
  <c r="P142" i="27"/>
  <c r="O142" i="27"/>
  <c r="S141" i="27"/>
  <c r="R141" i="27"/>
  <c r="Q141" i="27"/>
  <c r="P141" i="27"/>
  <c r="O141" i="27"/>
  <c r="S140" i="27"/>
  <c r="R140" i="27"/>
  <c r="Q140" i="27"/>
  <c r="P140" i="27"/>
  <c r="O140" i="27"/>
  <c r="S139" i="27"/>
  <c r="R139" i="27"/>
  <c r="Q139" i="27"/>
  <c r="P139" i="27"/>
  <c r="O139" i="27"/>
  <c r="S138" i="27"/>
  <c r="R138" i="27"/>
  <c r="Q138" i="27"/>
  <c r="P138" i="27"/>
  <c r="O138" i="27"/>
  <c r="S137" i="27"/>
  <c r="R137" i="27"/>
  <c r="Q137" i="27"/>
  <c r="P137" i="27"/>
  <c r="O137" i="27"/>
  <c r="S135" i="27"/>
  <c r="R135" i="27"/>
  <c r="Q135" i="27"/>
  <c r="P135" i="27"/>
  <c r="O135" i="27"/>
  <c r="S134" i="27"/>
  <c r="R134" i="27"/>
  <c r="Q134" i="27"/>
  <c r="P134" i="27"/>
  <c r="O134" i="27"/>
  <c r="S133" i="27"/>
  <c r="R133" i="27"/>
  <c r="Q133" i="27"/>
  <c r="P133" i="27"/>
  <c r="O133" i="27"/>
  <c r="S131" i="27"/>
  <c r="R131" i="27"/>
  <c r="Q131" i="27"/>
  <c r="P131" i="27"/>
  <c r="O131" i="27"/>
  <c r="S129" i="27"/>
  <c r="R129" i="27"/>
  <c r="Q129" i="27"/>
  <c r="P129" i="27"/>
  <c r="O129" i="27"/>
  <c r="S128" i="27"/>
  <c r="R128" i="27"/>
  <c r="Q128" i="27"/>
  <c r="P128" i="27"/>
  <c r="O128" i="27"/>
  <c r="S127" i="27"/>
  <c r="R127" i="27"/>
  <c r="Q127" i="27"/>
  <c r="P127" i="27"/>
  <c r="O127" i="27"/>
  <c r="S125" i="27"/>
  <c r="R125" i="27"/>
  <c r="Q125" i="27"/>
  <c r="P125" i="27"/>
  <c r="O125" i="27"/>
  <c r="S123" i="27"/>
  <c r="R123" i="27"/>
  <c r="Q123" i="27"/>
  <c r="P123" i="27"/>
  <c r="O123" i="27"/>
  <c r="S122" i="27"/>
  <c r="R122" i="27"/>
  <c r="Q122" i="27"/>
  <c r="P122" i="27"/>
  <c r="O122" i="27"/>
  <c r="S115" i="27"/>
  <c r="R115" i="27"/>
  <c r="Q115" i="27"/>
  <c r="P115" i="27"/>
  <c r="O115" i="27"/>
  <c r="S114" i="27"/>
  <c r="R114" i="27"/>
  <c r="Q114" i="27"/>
  <c r="P114" i="27"/>
  <c r="O114" i="27"/>
  <c r="S112" i="27"/>
  <c r="R112" i="27"/>
  <c r="Q112" i="27"/>
  <c r="P112" i="27"/>
  <c r="O112" i="27"/>
  <c r="S111" i="27"/>
  <c r="R111" i="27"/>
  <c r="Q111" i="27"/>
  <c r="P111" i="27"/>
  <c r="O111" i="27"/>
  <c r="S108" i="27"/>
  <c r="R108" i="27"/>
  <c r="Q108" i="27"/>
  <c r="P108" i="27"/>
  <c r="O108" i="27"/>
  <c r="S106" i="27"/>
  <c r="R106" i="27"/>
  <c r="Q106" i="27"/>
  <c r="P106" i="27"/>
  <c r="O106" i="27"/>
  <c r="S105" i="27"/>
  <c r="R105" i="27"/>
  <c r="Q105" i="27"/>
  <c r="P105" i="27"/>
  <c r="O105" i="27"/>
  <c r="S104" i="27"/>
  <c r="R104" i="27"/>
  <c r="Q104" i="27"/>
  <c r="P104" i="27"/>
  <c r="O104" i="27"/>
  <c r="S103" i="27"/>
  <c r="R103" i="27"/>
  <c r="Q103" i="27"/>
  <c r="P103" i="27"/>
  <c r="O103" i="27"/>
  <c r="S102" i="27"/>
  <c r="R102" i="27"/>
  <c r="Q102" i="27"/>
  <c r="P102" i="27"/>
  <c r="O102" i="27"/>
  <c r="S101" i="27"/>
  <c r="R101" i="27"/>
  <c r="Q101" i="27"/>
  <c r="P101" i="27"/>
  <c r="O101" i="27"/>
  <c r="S100" i="27"/>
  <c r="R100" i="27"/>
  <c r="Q100" i="27"/>
  <c r="P100" i="27"/>
  <c r="O100" i="27"/>
  <c r="S99" i="27"/>
  <c r="R99" i="27"/>
  <c r="Q99" i="27"/>
  <c r="P99" i="27"/>
  <c r="O99" i="27"/>
  <c r="S98" i="27"/>
  <c r="R98" i="27"/>
  <c r="Q98" i="27"/>
  <c r="P98" i="27"/>
  <c r="O98" i="27"/>
  <c r="R95" i="27"/>
  <c r="S95" i="27"/>
  <c r="Q95" i="27"/>
  <c r="P95" i="27"/>
  <c r="O95" i="27"/>
  <c r="S94" i="27"/>
  <c r="R94" i="27"/>
  <c r="Q94" i="27"/>
  <c r="P94" i="27"/>
  <c r="O94" i="27"/>
  <c r="S93" i="27"/>
  <c r="R93" i="27"/>
  <c r="Q93" i="27"/>
  <c r="P93" i="27"/>
  <c r="O93" i="27"/>
  <c r="S91" i="27"/>
  <c r="R91" i="27"/>
  <c r="Q91" i="27"/>
  <c r="P91" i="27"/>
  <c r="O91" i="27"/>
  <c r="S90" i="27"/>
  <c r="R90" i="27"/>
  <c r="Q90" i="27"/>
  <c r="P90" i="27"/>
  <c r="O90" i="27"/>
  <c r="S89" i="27"/>
  <c r="R89" i="27"/>
  <c r="Q89" i="27"/>
  <c r="P89" i="27"/>
  <c r="O89" i="27"/>
  <c r="S88" i="27"/>
  <c r="R88" i="27"/>
  <c r="Q88" i="27"/>
  <c r="P88" i="27"/>
  <c r="O88" i="27"/>
  <c r="S87" i="27"/>
  <c r="R87" i="27"/>
  <c r="Q87" i="27"/>
  <c r="P87" i="27"/>
  <c r="O87" i="27"/>
  <c r="S84" i="27"/>
  <c r="R84" i="27"/>
  <c r="Q84" i="27"/>
  <c r="P84" i="27"/>
  <c r="O84" i="27"/>
  <c r="S83" i="27"/>
  <c r="R83" i="27"/>
  <c r="Q83" i="27"/>
  <c r="P83" i="27"/>
  <c r="O83" i="27"/>
  <c r="S82" i="27"/>
  <c r="R82" i="27"/>
  <c r="Q82" i="27"/>
  <c r="P82" i="27"/>
  <c r="O82" i="27"/>
  <c r="S80" i="27"/>
  <c r="R80" i="27"/>
  <c r="Q80" i="27"/>
  <c r="P80" i="27"/>
  <c r="O80" i="27"/>
  <c r="S79" i="27"/>
  <c r="R79" i="27"/>
  <c r="Q79" i="27"/>
  <c r="P79" i="27"/>
  <c r="O79" i="27"/>
  <c r="S78" i="27"/>
  <c r="R78" i="27"/>
  <c r="Q78" i="27"/>
  <c r="P78" i="27"/>
  <c r="O78" i="27"/>
  <c r="S77" i="27"/>
  <c r="R77" i="27"/>
  <c r="Q77" i="27"/>
  <c r="P77" i="27"/>
  <c r="O77" i="27"/>
  <c r="S76" i="27"/>
  <c r="R76" i="27"/>
  <c r="Q76" i="27"/>
  <c r="P76" i="27"/>
  <c r="O76" i="27"/>
  <c r="S74" i="27"/>
  <c r="R74" i="27"/>
  <c r="Q74" i="27"/>
  <c r="P74" i="27"/>
  <c r="O74" i="27"/>
  <c r="S71" i="27"/>
  <c r="R71" i="27"/>
  <c r="Q71" i="27"/>
  <c r="O71" i="27"/>
  <c r="S70" i="27"/>
  <c r="R70" i="27"/>
  <c r="Q70" i="27"/>
  <c r="P70" i="27"/>
  <c r="O70" i="27"/>
  <c r="S69" i="27"/>
  <c r="R69" i="27"/>
  <c r="Q69" i="27"/>
  <c r="P69" i="27"/>
  <c r="O69" i="27"/>
  <c r="S68" i="27"/>
  <c r="R68" i="27"/>
  <c r="Q68" i="27"/>
  <c r="P68" i="27"/>
  <c r="O68" i="27"/>
  <c r="S65" i="27"/>
  <c r="R65" i="27"/>
  <c r="Q65" i="27"/>
  <c r="P65" i="27"/>
  <c r="O65" i="27"/>
  <c r="S64" i="27"/>
  <c r="R64" i="27"/>
  <c r="Q64" i="27"/>
  <c r="P64" i="27"/>
  <c r="O64" i="27"/>
  <c r="S63" i="27"/>
  <c r="R63" i="27"/>
  <c r="Q63" i="27"/>
  <c r="P63" i="27"/>
  <c r="O63" i="27"/>
  <c r="S61" i="27"/>
  <c r="R61" i="27"/>
  <c r="Q61" i="27"/>
  <c r="P61" i="27"/>
  <c r="O61" i="27"/>
  <c r="S60" i="27"/>
  <c r="R60" i="27"/>
  <c r="Q60" i="27"/>
  <c r="P60" i="27"/>
  <c r="O60" i="27"/>
  <c r="S58" i="27"/>
  <c r="R58" i="27"/>
  <c r="Q58" i="27"/>
  <c r="P58" i="27"/>
  <c r="O58" i="27"/>
  <c r="S57" i="27"/>
  <c r="R57" i="27"/>
  <c r="Q57" i="27"/>
  <c r="P57" i="27"/>
  <c r="O57" i="27"/>
  <c r="S56" i="27"/>
  <c r="R56" i="27"/>
  <c r="Q56" i="27"/>
  <c r="P56" i="27"/>
  <c r="O56" i="27"/>
  <c r="S54" i="27"/>
  <c r="R54" i="27"/>
  <c r="Q54" i="27"/>
  <c r="P54" i="27"/>
  <c r="O54" i="27"/>
  <c r="S53" i="27"/>
  <c r="R53" i="27"/>
  <c r="Q53" i="27"/>
  <c r="P53" i="27"/>
  <c r="O53" i="27"/>
  <c r="S52" i="27"/>
  <c r="R52" i="27"/>
  <c r="Q52" i="27"/>
  <c r="P52" i="27"/>
  <c r="O52" i="27"/>
  <c r="S51" i="27"/>
  <c r="R51" i="27"/>
  <c r="Q51" i="27"/>
  <c r="P51" i="27"/>
  <c r="O51" i="27"/>
  <c r="S50" i="27"/>
  <c r="R50" i="27"/>
  <c r="Q50" i="27"/>
  <c r="P50" i="27"/>
  <c r="O50" i="27"/>
  <c r="S49" i="27"/>
  <c r="R49" i="27"/>
  <c r="Q49" i="27"/>
  <c r="P49" i="27"/>
  <c r="O49" i="27"/>
  <c r="S48" i="27"/>
  <c r="R48" i="27"/>
  <c r="Q48" i="27"/>
  <c r="P48" i="27"/>
  <c r="O48" i="27"/>
  <c r="S47" i="27"/>
  <c r="R47" i="27"/>
  <c r="Q47" i="27"/>
  <c r="P47" i="27"/>
  <c r="O47" i="27"/>
  <c r="S46" i="27"/>
  <c r="R46" i="27"/>
  <c r="Q46" i="27"/>
  <c r="P46" i="27"/>
  <c r="O46" i="27"/>
  <c r="S45" i="27"/>
  <c r="R45" i="27"/>
  <c r="Q45" i="27"/>
  <c r="P45" i="27"/>
  <c r="O45" i="27"/>
  <c r="S44" i="27"/>
  <c r="R44" i="27"/>
  <c r="Q44" i="27"/>
  <c r="P44" i="27"/>
  <c r="O44" i="27"/>
  <c r="S43" i="27"/>
  <c r="R43" i="27"/>
  <c r="Q43" i="27"/>
  <c r="P43" i="27"/>
  <c r="O43" i="27"/>
  <c r="S42" i="27"/>
  <c r="R42" i="27"/>
  <c r="Q42" i="27"/>
  <c r="P42" i="27"/>
  <c r="O42" i="27"/>
  <c r="S40" i="27"/>
  <c r="R40" i="27"/>
  <c r="Q40" i="27"/>
  <c r="P40" i="27"/>
  <c r="O40" i="27"/>
  <c r="S39" i="27"/>
  <c r="R39" i="27"/>
  <c r="Q39" i="27"/>
  <c r="P39" i="27"/>
  <c r="O39" i="27"/>
  <c r="S38" i="27"/>
  <c r="R38" i="27"/>
  <c r="Q38" i="27"/>
  <c r="P38" i="27"/>
  <c r="O38" i="27"/>
  <c r="S36" i="27"/>
  <c r="R36" i="27"/>
  <c r="Q36" i="27"/>
  <c r="P36" i="27"/>
  <c r="O36" i="27"/>
  <c r="S35" i="27"/>
  <c r="R35" i="27"/>
  <c r="Q35" i="27"/>
  <c r="P35" i="27"/>
  <c r="O35" i="27"/>
  <c r="S34" i="27"/>
  <c r="R34" i="27"/>
  <c r="Q34" i="27"/>
  <c r="P34" i="27"/>
  <c r="O34" i="27"/>
  <c r="S33" i="27"/>
  <c r="R33" i="27"/>
  <c r="Q33" i="27"/>
  <c r="P33" i="27"/>
  <c r="O33" i="27"/>
  <c r="S32" i="27"/>
  <c r="R32" i="27"/>
  <c r="Q32" i="27"/>
  <c r="P32" i="27"/>
  <c r="O32" i="27"/>
  <c r="S31" i="27"/>
  <c r="R31" i="27"/>
  <c r="Q31" i="27"/>
  <c r="P31" i="27"/>
  <c r="O31" i="27"/>
  <c r="S29" i="27"/>
  <c r="R29" i="27"/>
  <c r="Q29" i="27"/>
  <c r="P29" i="27"/>
  <c r="O29" i="27"/>
  <c r="S28" i="27"/>
  <c r="R28" i="27"/>
  <c r="Q28" i="27"/>
  <c r="P28" i="27"/>
  <c r="O28" i="27"/>
  <c r="S27" i="27"/>
  <c r="R27" i="27"/>
  <c r="Q27" i="27"/>
  <c r="P27" i="27"/>
  <c r="O27" i="27"/>
  <c r="S26" i="27"/>
  <c r="R26" i="27"/>
  <c r="Q26" i="27"/>
  <c r="P26" i="27"/>
  <c r="O26" i="27"/>
  <c r="N24" i="27"/>
  <c r="M24" i="27"/>
  <c r="L24" i="27"/>
  <c r="K24" i="27"/>
  <c r="J24" i="27"/>
  <c r="S23" i="27"/>
  <c r="R23" i="27"/>
  <c r="Q23" i="27"/>
  <c r="P23" i="27"/>
  <c r="O23" i="27"/>
  <c r="S22" i="27"/>
  <c r="R22" i="27"/>
  <c r="Q22" i="27"/>
  <c r="P22" i="27"/>
  <c r="O22" i="27"/>
  <c r="S20" i="27"/>
  <c r="R20" i="27"/>
  <c r="Q20" i="27"/>
  <c r="P20" i="27"/>
  <c r="O20" i="27"/>
  <c r="T154" i="27" l="1"/>
  <c r="T106" i="27"/>
  <c r="T114" i="27"/>
  <c r="R132" i="27"/>
  <c r="R143" i="27" s="1"/>
  <c r="K122" i="20"/>
  <c r="P122" i="20" s="1"/>
  <c r="Q24" i="27"/>
  <c r="J13" i="20"/>
  <c r="O13" i="20" s="1"/>
  <c r="O132" i="27"/>
  <c r="O143" i="27" s="1"/>
  <c r="H122" i="20"/>
  <c r="M122" i="20" s="1"/>
  <c r="S132" i="27"/>
  <c r="S143" i="27" s="1"/>
  <c r="L122" i="20"/>
  <c r="Q122" i="20" s="1"/>
  <c r="R24" i="27"/>
  <c r="K13" i="20"/>
  <c r="P13" i="20" s="1"/>
  <c r="P132" i="27"/>
  <c r="P143" i="27" s="1"/>
  <c r="I122" i="20"/>
  <c r="N122" i="20" s="1"/>
  <c r="P24" i="27"/>
  <c r="I13" i="20"/>
  <c r="N13" i="20" s="1"/>
  <c r="O24" i="27"/>
  <c r="H13" i="20"/>
  <c r="M13" i="20" s="1"/>
  <c r="S24" i="27"/>
  <c r="L13" i="20"/>
  <c r="Q13" i="20" s="1"/>
  <c r="Q132" i="27"/>
  <c r="Q143" i="27" s="1"/>
  <c r="J122" i="20"/>
  <c r="O122" i="20" s="1"/>
  <c r="T104" i="27"/>
  <c r="T100" i="27"/>
  <c r="T39" i="27"/>
  <c r="T26" i="27"/>
  <c r="T31" i="27"/>
  <c r="T35" i="27"/>
  <c r="T36" i="27"/>
  <c r="T45" i="27"/>
  <c r="T49" i="27"/>
  <c r="T53" i="27"/>
  <c r="T88" i="27"/>
  <c r="T93" i="27"/>
  <c r="T127" i="27"/>
  <c r="T151" i="27"/>
  <c r="T71" i="27"/>
  <c r="T137" i="27"/>
  <c r="T138" i="27"/>
  <c r="T142" i="27"/>
  <c r="O155" i="27"/>
  <c r="S155" i="27"/>
  <c r="T147" i="27"/>
  <c r="T153" i="27"/>
  <c r="T60" i="27"/>
  <c r="T74" i="27"/>
  <c r="T79" i="27"/>
  <c r="T133" i="27"/>
  <c r="T23" i="27"/>
  <c r="T29" i="27"/>
  <c r="T34" i="27"/>
  <c r="T38" i="27"/>
  <c r="T44" i="27"/>
  <c r="T48" i="27"/>
  <c r="T52" i="27"/>
  <c r="T57" i="27"/>
  <c r="T65" i="27"/>
  <c r="T70" i="27"/>
  <c r="T78" i="27"/>
  <c r="T83" i="27"/>
  <c r="T87" i="27"/>
  <c r="T91" i="27"/>
  <c r="T99" i="27"/>
  <c r="T103" i="27"/>
  <c r="T112" i="27"/>
  <c r="T131" i="27"/>
  <c r="T141" i="27"/>
  <c r="R155" i="27"/>
  <c r="T146" i="27"/>
  <c r="T27" i="27"/>
  <c r="T32" i="27"/>
  <c r="T42" i="27"/>
  <c r="T46" i="27"/>
  <c r="T50" i="27"/>
  <c r="T54" i="27"/>
  <c r="T61" i="27"/>
  <c r="T63" i="27"/>
  <c r="T68" i="27"/>
  <c r="T76" i="27"/>
  <c r="T80" i="27"/>
  <c r="T89" i="27"/>
  <c r="T94" i="27"/>
  <c r="T101" i="27"/>
  <c r="T105" i="27"/>
  <c r="T108" i="27"/>
  <c r="T115" i="27"/>
  <c r="T122" i="27"/>
  <c r="T128" i="27"/>
  <c r="T134" i="27"/>
  <c r="T139" i="27"/>
  <c r="P155" i="27"/>
  <c r="T149" i="27"/>
  <c r="T152" i="27"/>
  <c r="T84" i="27"/>
  <c r="T22" i="27"/>
  <c r="T28" i="27"/>
  <c r="T33" i="27"/>
  <c r="T43" i="27"/>
  <c r="T47" i="27"/>
  <c r="T51" i="27"/>
  <c r="T56" i="27"/>
  <c r="T64" i="27"/>
  <c r="T69" i="27"/>
  <c r="T77" i="27"/>
  <c r="T82" i="27"/>
  <c r="T90" i="27"/>
  <c r="T98" i="27"/>
  <c r="T102" i="27"/>
  <c r="T111" i="27"/>
  <c r="T123" i="27"/>
  <c r="T129" i="27"/>
  <c r="T135" i="27"/>
  <c r="T140" i="27"/>
  <c r="Q155" i="27"/>
  <c r="T145" i="27"/>
  <c r="T150" i="27"/>
  <c r="F182" i="20"/>
  <c r="E184" i="20"/>
  <c r="D33" i="23" s="1"/>
  <c r="D179" i="20"/>
  <c r="D182" i="20"/>
  <c r="F181" i="20"/>
  <c r="F179" i="20"/>
  <c r="D178" i="20"/>
  <c r="F178" i="20"/>
  <c r="D177" i="20"/>
  <c r="F177" i="20"/>
  <c r="F172" i="20"/>
  <c r="E172" i="20"/>
  <c r="D21" i="23" s="1"/>
  <c r="R9" i="20"/>
  <c r="F175" i="20"/>
  <c r="E173" i="20"/>
  <c r="D22" i="23" s="1"/>
  <c r="E174" i="20"/>
  <c r="D23" i="23" s="1"/>
  <c r="F173" i="20"/>
  <c r="T58" i="27"/>
  <c r="T40" i="27"/>
  <c r="T95" i="27"/>
  <c r="T144" i="27"/>
  <c r="T125" i="27"/>
  <c r="T20" i="27"/>
  <c r="E7" i="27" l="1"/>
  <c r="I62" i="27"/>
  <c r="Q62" i="27" s="1"/>
  <c r="I96" i="27"/>
  <c r="G85" i="20" s="1"/>
  <c r="P85" i="20" s="1"/>
  <c r="Q96" i="27"/>
  <c r="T24" i="27"/>
  <c r="I86" i="27"/>
  <c r="G75" i="20" s="1"/>
  <c r="R13" i="20"/>
  <c r="T132" i="27"/>
  <c r="T143" i="27" s="1"/>
  <c r="R122" i="20"/>
  <c r="D181" i="20" s="1"/>
  <c r="I97" i="27"/>
  <c r="S97" i="27" s="1"/>
  <c r="M85" i="20"/>
  <c r="E11" i="27"/>
  <c r="I75" i="27"/>
  <c r="R75" i="27" s="1"/>
  <c r="I67" i="27"/>
  <c r="I59" i="27"/>
  <c r="I41" i="27"/>
  <c r="G30" i="20" s="1"/>
  <c r="P30" i="20" s="1"/>
  <c r="G86" i="20"/>
  <c r="E12" i="27"/>
  <c r="G51" i="20"/>
  <c r="I25" i="27"/>
  <c r="S25" i="27" s="1"/>
  <c r="D159" i="20"/>
  <c r="C10" i="23" s="1"/>
  <c r="D183" i="20"/>
  <c r="E176" i="20"/>
  <c r="D25" i="23" s="1"/>
  <c r="D185" i="20"/>
  <c r="D184" i="20"/>
  <c r="D180" i="20"/>
  <c r="F174" i="20"/>
  <c r="E175" i="20"/>
  <c r="D24" i="23" s="1"/>
  <c r="F185" i="20"/>
  <c r="E171" i="20"/>
  <c r="D20" i="23" s="1"/>
  <c r="R97" i="27"/>
  <c r="P97" i="27"/>
  <c r="E13" i="27"/>
  <c r="S62" i="27"/>
  <c r="O97" i="27"/>
  <c r="Q97" i="27"/>
  <c r="T155" i="27"/>
  <c r="P62" i="27"/>
  <c r="E10" i="27"/>
  <c r="D162" i="20"/>
  <c r="D161" i="20"/>
  <c r="E40" i="23" s="1"/>
  <c r="D164" i="20"/>
  <c r="E38" i="23" s="1"/>
  <c r="D160" i="20"/>
  <c r="C11" i="23" s="1"/>
  <c r="D163" i="20"/>
  <c r="R25" i="27"/>
  <c r="E9" i="27"/>
  <c r="E8" i="27"/>
  <c r="O86" i="27"/>
  <c r="R96" i="27" l="1"/>
  <c r="O96" i="27"/>
  <c r="O62" i="27"/>
  <c r="R62" i="27"/>
  <c r="O85" i="20"/>
  <c r="Q85" i="20"/>
  <c r="N85" i="20"/>
  <c r="P96" i="27"/>
  <c r="T96" i="27" s="1"/>
  <c r="P75" i="27"/>
  <c r="S96" i="27"/>
  <c r="R86" i="27"/>
  <c r="S41" i="27"/>
  <c r="P86" i="27"/>
  <c r="S86" i="27"/>
  <c r="Q86" i="27"/>
  <c r="R41" i="27"/>
  <c r="P41" i="27"/>
  <c r="O41" i="27"/>
  <c r="Q41" i="27"/>
  <c r="P25" i="27"/>
  <c r="O25" i="27"/>
  <c r="Q25" i="27"/>
  <c r="D165" i="20"/>
  <c r="C12" i="23" s="1"/>
  <c r="G14" i="20"/>
  <c r="O14" i="20" s="1"/>
  <c r="O75" i="20"/>
  <c r="M75" i="20"/>
  <c r="P75" i="20"/>
  <c r="N75" i="20"/>
  <c r="Q75" i="20"/>
  <c r="T97" i="27"/>
  <c r="N30" i="20"/>
  <c r="Q30" i="20"/>
  <c r="S67" i="27"/>
  <c r="Q67" i="27"/>
  <c r="O67" i="27"/>
  <c r="P67" i="27"/>
  <c r="R67" i="27"/>
  <c r="G56" i="20"/>
  <c r="S59" i="27"/>
  <c r="O59" i="27"/>
  <c r="P59" i="27"/>
  <c r="Q59" i="27"/>
  <c r="R59" i="27"/>
  <c r="G48" i="20"/>
  <c r="O30" i="20"/>
  <c r="M30" i="20"/>
  <c r="M51" i="20"/>
  <c r="P51" i="20"/>
  <c r="N51" i="20"/>
  <c r="Q51" i="20"/>
  <c r="O51" i="20"/>
  <c r="Q75" i="27"/>
  <c r="G64" i="20"/>
  <c r="S75" i="27"/>
  <c r="O75" i="27"/>
  <c r="O86" i="20"/>
  <c r="P86" i="20"/>
  <c r="Q86" i="20"/>
  <c r="N86" i="20"/>
  <c r="M86" i="20"/>
  <c r="F187" i="20"/>
  <c r="E187" i="20"/>
  <c r="D19" i="23"/>
  <c r="D44" i="23" s="1"/>
  <c r="C149" i="20"/>
  <c r="C150" i="20" s="1"/>
  <c r="C174" i="27"/>
  <c r="C171" i="27"/>
  <c r="R85" i="20" l="1"/>
  <c r="T62" i="27"/>
  <c r="T161" i="27" s="1"/>
  <c r="O124" i="27"/>
  <c r="Q14" i="20"/>
  <c r="T86" i="27"/>
  <c r="S124" i="27"/>
  <c r="T25" i="27"/>
  <c r="T41" i="27"/>
  <c r="P124" i="27"/>
  <c r="R124" i="27"/>
  <c r="P14" i="20"/>
  <c r="M14" i="20"/>
  <c r="C152" i="20"/>
  <c r="R75" i="20"/>
  <c r="D175" i="20" s="1"/>
  <c r="N14" i="20"/>
  <c r="R30" i="20"/>
  <c r="D171" i="20" s="1"/>
  <c r="M56" i="20"/>
  <c r="O56" i="20"/>
  <c r="P56" i="20"/>
  <c r="Q56" i="20"/>
  <c r="N56" i="20"/>
  <c r="Q124" i="27"/>
  <c r="T67" i="27"/>
  <c r="P48" i="20"/>
  <c r="Q48" i="20"/>
  <c r="M48" i="20"/>
  <c r="N48" i="20"/>
  <c r="O48" i="20"/>
  <c r="T59" i="27"/>
  <c r="R51" i="20"/>
  <c r="G151" i="20" s="1"/>
  <c r="R86" i="20"/>
  <c r="D176" i="20" s="1"/>
  <c r="P64" i="20"/>
  <c r="M64" i="20"/>
  <c r="N64" i="20"/>
  <c r="Q64" i="20"/>
  <c r="O64" i="20"/>
  <c r="T75" i="27"/>
  <c r="C176" i="27"/>
  <c r="C153" i="20" l="1"/>
  <c r="C155" i="20" s="1"/>
  <c r="T160" i="27"/>
  <c r="E14" i="27"/>
  <c r="E15" i="27" s="1"/>
  <c r="T124" i="27"/>
  <c r="C53" i="23"/>
  <c r="R14" i="20"/>
  <c r="D170" i="20" s="1"/>
  <c r="R56" i="20"/>
  <c r="D173" i="20" s="1"/>
  <c r="R48" i="20"/>
  <c r="D172" i="20" s="1"/>
  <c r="Q148" i="20"/>
  <c r="G53" i="23" s="1"/>
  <c r="Q150" i="20"/>
  <c r="Q155" i="20" s="1"/>
  <c r="N148" i="20"/>
  <c r="D53" i="23" s="1"/>
  <c r="N150" i="20"/>
  <c r="N155" i="20" s="1"/>
  <c r="R64" i="20"/>
  <c r="M150" i="20"/>
  <c r="M155" i="20" s="1"/>
  <c r="O148" i="20"/>
  <c r="E53" i="23" s="1"/>
  <c r="O150" i="20"/>
  <c r="O155" i="20" s="1"/>
  <c r="P148" i="20"/>
  <c r="F53" i="23" s="1"/>
  <c r="P150" i="20"/>
  <c r="P155" i="20" s="1"/>
  <c r="T158" i="27"/>
  <c r="D174" i="20" l="1"/>
  <c r="D187" i="20" s="1"/>
  <c r="D189" i="20" s="1"/>
  <c r="D166" i="20"/>
  <c r="C13" i="23" s="1"/>
  <c r="G150" i="20"/>
  <c r="G152" i="20" s="1"/>
  <c r="R148" i="20"/>
  <c r="M157" i="20"/>
  <c r="E44" i="23" l="1"/>
  <c r="M28" i="13" s="1"/>
  <c r="C44" i="23"/>
  <c r="M30" i="13" l="1"/>
  <c r="M35" i="13"/>
  <c r="M36" i="13"/>
  <c r="M32" i="13"/>
  <c r="M39" i="13"/>
  <c r="M41" i="13"/>
  <c r="M31" i="13"/>
  <c r="M38" i="13"/>
  <c r="M40" i="13"/>
  <c r="M37" i="13"/>
  <c r="M33" i="13"/>
  <c r="M29" i="13"/>
  <c r="M34" i="13"/>
  <c r="C28" i="13"/>
  <c r="C36" i="13" l="1"/>
  <c r="C33" i="13"/>
  <c r="C32" i="13"/>
  <c r="C37" i="13"/>
  <c r="C30" i="13"/>
  <c r="C39" i="13"/>
  <c r="C38" i="13"/>
  <c r="C41" i="13"/>
  <c r="C31" i="13"/>
  <c r="C40" i="13"/>
  <c r="C34" i="13"/>
  <c r="C35" i="13"/>
  <c r="C29" i="13"/>
  <c r="E26" i="6" l="1"/>
  <c r="E20" i="6"/>
  <c r="C11" i="22" l="1"/>
  <c r="D10" i="22"/>
  <c r="C10" i="22"/>
  <c r="D9" i="22"/>
  <c r="C9" i="22"/>
  <c r="D65" i="17" l="1"/>
  <c r="D64" i="17"/>
  <c r="D59" i="17"/>
  <c r="D58" i="17"/>
  <c r="D57" i="17"/>
  <c r="D54" i="17"/>
  <c r="D53" i="17" l="1"/>
  <c r="D63" i="17"/>
  <c r="D60" i="17"/>
  <c r="D61" i="17"/>
  <c r="D62" i="17"/>
  <c r="D55" i="17"/>
  <c r="D56" i="17"/>
  <c r="D52" i="17"/>
  <c r="C45" i="23" l="1"/>
  <c r="B12" i="13" s="1"/>
  <c r="H28" i="13"/>
  <c r="C56" i="23" l="1"/>
  <c r="C60" i="23" s="1"/>
  <c r="C64" i="23"/>
  <c r="AD16" i="13"/>
  <c r="AD20" i="13"/>
  <c r="AD24" i="13"/>
  <c r="AB14" i="13"/>
  <c r="AB18" i="13"/>
  <c r="AB22" i="13"/>
  <c r="AD17" i="13"/>
  <c r="AD21" i="13"/>
  <c r="AD12" i="13"/>
  <c r="AB15" i="13"/>
  <c r="AB19" i="13"/>
  <c r="AB23" i="13"/>
  <c r="AD13" i="13"/>
  <c r="AD14" i="13"/>
  <c r="AD18" i="13"/>
  <c r="AD22" i="13"/>
  <c r="AB16" i="13"/>
  <c r="AB20" i="13"/>
  <c r="AB24" i="13"/>
  <c r="AD15" i="13"/>
  <c r="AD19" i="13"/>
  <c r="AD23" i="13"/>
  <c r="AB13" i="13"/>
  <c r="AB17" i="13"/>
  <c r="AB21" i="13"/>
  <c r="AB12" i="13"/>
  <c r="C66" i="23"/>
  <c r="C62" i="23"/>
  <c r="H32" i="13"/>
  <c r="H34" i="13"/>
  <c r="H39" i="13"/>
  <c r="H30" i="13"/>
  <c r="H37" i="13"/>
  <c r="H36" i="13"/>
  <c r="H35" i="13"/>
  <c r="H31" i="13"/>
  <c r="H33" i="13"/>
  <c r="H38" i="13"/>
  <c r="H41" i="13"/>
  <c r="H40" i="13"/>
  <c r="H29" i="13"/>
  <c r="N34" i="13"/>
  <c r="Y17" i="13" s="1"/>
  <c r="N41" i="13"/>
  <c r="Y24" i="13" s="1"/>
  <c r="N38" i="13"/>
  <c r="Y21" i="13" s="1"/>
  <c r="N29" i="13"/>
  <c r="Y12" i="13" s="1"/>
  <c r="N39" i="13"/>
  <c r="Y22" i="13" s="1"/>
  <c r="N31" i="13"/>
  <c r="Y14" i="13" s="1"/>
  <c r="N30" i="13"/>
  <c r="Y13" i="13" s="1"/>
  <c r="N36" i="13"/>
  <c r="Y19" i="13" s="1"/>
  <c r="N32" i="13"/>
  <c r="Y15" i="13" s="1"/>
  <c r="N35" i="13"/>
  <c r="Y18" i="13" s="1"/>
  <c r="N33" i="13"/>
  <c r="Y16" i="13" s="1"/>
  <c r="N37" i="13"/>
  <c r="Y20" i="13" s="1"/>
  <c r="N40" i="13"/>
  <c r="Y23" i="13" s="1"/>
  <c r="D34" i="13"/>
  <c r="W17" i="13" s="1"/>
  <c r="D38" i="13"/>
  <c r="W21" i="13" s="1"/>
  <c r="D39" i="13"/>
  <c r="W22" i="13" s="1"/>
  <c r="D37" i="13"/>
  <c r="W20" i="13" s="1"/>
  <c r="D29" i="13"/>
  <c r="W12" i="13" s="1"/>
  <c r="D31" i="13"/>
  <c r="W14" i="13" s="1"/>
  <c r="D41" i="13"/>
  <c r="W24" i="13" s="1"/>
  <c r="D40" i="13"/>
  <c r="W23" i="13" s="1"/>
  <c r="D30" i="13"/>
  <c r="W13" i="13" s="1"/>
  <c r="D36" i="13"/>
  <c r="W19" i="13" s="1"/>
  <c r="D32" i="13"/>
  <c r="W15" i="13" s="1"/>
  <c r="D35" i="13"/>
  <c r="W18" i="13" s="1"/>
  <c r="D33" i="13"/>
  <c r="W16" i="13" s="1"/>
  <c r="C58" i="23" l="1"/>
  <c r="AC23" i="13"/>
  <c r="AC14" i="13"/>
  <c r="AC13" i="13"/>
  <c r="AC24" i="13"/>
  <c r="AC18" i="13"/>
  <c r="AC22" i="13"/>
  <c r="AC21" i="13"/>
  <c r="AC19" i="13"/>
  <c r="AC17" i="13"/>
  <c r="AC12" i="13"/>
  <c r="AC16" i="13"/>
  <c r="AC20" i="13"/>
  <c r="AC15" i="13"/>
  <c r="I29" i="13"/>
  <c r="X12" i="13" s="1"/>
  <c r="I37" i="13"/>
  <c r="X20" i="13" s="1"/>
  <c r="I40" i="13"/>
  <c r="X23" i="13" s="1"/>
  <c r="I31" i="13"/>
  <c r="X14" i="13" s="1"/>
  <c r="I30" i="13"/>
  <c r="X13" i="13" s="1"/>
  <c r="I33" i="13"/>
  <c r="X16" i="13" s="1"/>
  <c r="I32" i="13"/>
  <c r="X15" i="13" s="1"/>
  <c r="I41" i="13"/>
  <c r="X24" i="13" s="1"/>
  <c r="I35" i="13"/>
  <c r="X18" i="13" s="1"/>
  <c r="I39" i="13"/>
  <c r="X22" i="13" s="1"/>
  <c r="I38" i="13"/>
  <c r="X21" i="13" s="1"/>
  <c r="I36" i="13"/>
  <c r="X19" i="13" s="1"/>
  <c r="I34" i="13"/>
  <c r="X17" i="13" s="1"/>
  <c r="G44" i="23" l="1"/>
  <c r="E22" i="19"/>
  <c r="H6" i="6"/>
  <c r="E7" i="26" s="1"/>
  <c r="H30" i="6" l="1"/>
  <c r="I6" i="6"/>
  <c r="I7" i="20" s="1"/>
  <c r="N7" i="20" s="1"/>
  <c r="C50" i="23"/>
  <c r="E30" i="19"/>
  <c r="E34" i="19" s="1"/>
  <c r="D11" i="22"/>
  <c r="H31" i="6"/>
  <c r="H7" i="20"/>
  <c r="M7" i="20" s="1"/>
  <c r="H7" i="6"/>
  <c r="J6" i="19"/>
  <c r="F7" i="26" l="1"/>
  <c r="I7" i="6"/>
  <c r="I31" i="6"/>
  <c r="I30" i="6"/>
  <c r="J6" i="6"/>
  <c r="G7" i="26" s="1"/>
  <c r="K6" i="19"/>
  <c r="K30" i="19" s="1"/>
  <c r="D50" i="23"/>
  <c r="J30" i="19"/>
  <c r="J22" i="19"/>
  <c r="J15" i="19"/>
  <c r="J10" i="19"/>
  <c r="J21" i="19"/>
  <c r="J16" i="19"/>
  <c r="J29" i="19"/>
  <c r="J9" i="19"/>
  <c r="D36" i="31"/>
  <c r="I8" i="20"/>
  <c r="N8" i="20" s="1"/>
  <c r="F8" i="26"/>
  <c r="F24" i="26" s="1"/>
  <c r="I24" i="6"/>
  <c r="I19" i="6"/>
  <c r="I26" i="6"/>
  <c r="I18" i="6"/>
  <c r="I12" i="6"/>
  <c r="I25" i="6"/>
  <c r="K7" i="19"/>
  <c r="E37" i="31" s="1"/>
  <c r="E59" i="31" s="1"/>
  <c r="I13" i="6"/>
  <c r="D51" i="23"/>
  <c r="I20" i="6"/>
  <c r="I14" i="6"/>
  <c r="H8" i="20"/>
  <c r="M8" i="20" s="1"/>
  <c r="J7" i="19"/>
  <c r="D37" i="31" s="1"/>
  <c r="H20" i="6"/>
  <c r="H13" i="6"/>
  <c r="H26" i="6"/>
  <c r="C51" i="23"/>
  <c r="H25" i="6"/>
  <c r="H19" i="6"/>
  <c r="E8" i="26"/>
  <c r="E24" i="26" s="1"/>
  <c r="H12" i="6"/>
  <c r="H14" i="6"/>
  <c r="H24" i="6"/>
  <c r="H18" i="6"/>
  <c r="D64" i="31" l="1"/>
  <c r="D62" i="31"/>
  <c r="E50" i="23"/>
  <c r="K6" i="6"/>
  <c r="L6" i="19"/>
  <c r="L30" i="19" s="1"/>
  <c r="J31" i="6"/>
  <c r="J7" i="20"/>
  <c r="O7" i="20" s="1"/>
  <c r="J30" i="6"/>
  <c r="J7" i="6"/>
  <c r="L7" i="19" s="1"/>
  <c r="F37" i="31" s="1"/>
  <c r="F59" i="31" s="1"/>
  <c r="E46" i="31"/>
  <c r="E45" i="31"/>
  <c r="E56" i="31" s="1"/>
  <c r="E62" i="31" s="1"/>
  <c r="K10" i="19"/>
  <c r="E36" i="31"/>
  <c r="K29" i="19"/>
  <c r="K31" i="19" s="1"/>
  <c r="F16" i="26" s="1"/>
  <c r="K15" i="19"/>
  <c r="K21" i="19"/>
  <c r="K9" i="19"/>
  <c r="K22" i="19"/>
  <c r="K16" i="19"/>
  <c r="K17" i="19" s="1"/>
  <c r="F14" i="26" s="1"/>
  <c r="F19" i="26" s="1"/>
  <c r="J23" i="19"/>
  <c r="E15" i="26" s="1"/>
  <c r="E20" i="26" s="1"/>
  <c r="F34" i="26"/>
  <c r="F31" i="26"/>
  <c r="J12" i="6"/>
  <c r="J13" i="6"/>
  <c r="J25" i="6"/>
  <c r="J14" i="6"/>
  <c r="J26" i="6"/>
  <c r="J17" i="19"/>
  <c r="K7" i="20"/>
  <c r="P7" i="20" s="1"/>
  <c r="L6" i="6"/>
  <c r="K31" i="6"/>
  <c r="F50" i="23"/>
  <c r="H7" i="26"/>
  <c r="M6" i="19"/>
  <c r="K7" i="6"/>
  <c r="K30" i="6"/>
  <c r="J31" i="19"/>
  <c r="E34" i="26"/>
  <c r="E31" i="26"/>
  <c r="L10" i="19"/>
  <c r="L16" i="19"/>
  <c r="L21" i="19"/>
  <c r="L29" i="19"/>
  <c r="F36" i="31"/>
  <c r="J11" i="19"/>
  <c r="D68" i="31" l="1"/>
  <c r="D65" i="31"/>
  <c r="E63" i="31"/>
  <c r="D63" i="31"/>
  <c r="E51" i="23"/>
  <c r="J24" i="6"/>
  <c r="J18" i="6"/>
  <c r="L9" i="19"/>
  <c r="L11" i="19" s="1"/>
  <c r="G13" i="26" s="1"/>
  <c r="G18" i="26" s="1"/>
  <c r="L22" i="19"/>
  <c r="L15" i="19"/>
  <c r="J19" i="6"/>
  <c r="J8" i="20"/>
  <c r="O8" i="20" s="1"/>
  <c r="G8" i="26"/>
  <c r="G24" i="26" s="1"/>
  <c r="J20" i="6"/>
  <c r="F45" i="31"/>
  <c r="F46" i="31"/>
  <c r="F69" i="31" s="1"/>
  <c r="K23" i="19"/>
  <c r="F15" i="26" s="1"/>
  <c r="F20" i="26" s="1"/>
  <c r="E69" i="31"/>
  <c r="L23" i="19"/>
  <c r="G15" i="26" s="1"/>
  <c r="G20" i="26" s="1"/>
  <c r="K11" i="19"/>
  <c r="F13" i="26" s="1"/>
  <c r="F18" i="26" s="1"/>
  <c r="L17" i="19"/>
  <c r="G14" i="26" s="1"/>
  <c r="G19" i="26" s="1"/>
  <c r="H8" i="26"/>
  <c r="H24" i="26" s="1"/>
  <c r="K8" i="20"/>
  <c r="P8" i="20" s="1"/>
  <c r="K26" i="6"/>
  <c r="K19" i="6"/>
  <c r="K24" i="6"/>
  <c r="K14" i="6"/>
  <c r="F51" i="23"/>
  <c r="M7" i="19"/>
  <c r="G37" i="31" s="1"/>
  <c r="G59" i="31" s="1"/>
  <c r="K25" i="6"/>
  <c r="K13" i="6"/>
  <c r="K20" i="6"/>
  <c r="K18" i="6"/>
  <c r="K12" i="6"/>
  <c r="E57" i="31"/>
  <c r="E64" i="31" s="1"/>
  <c r="E68" i="31" s="1"/>
  <c r="E37" i="26"/>
  <c r="M30" i="19"/>
  <c r="M10" i="19"/>
  <c r="M29" i="19"/>
  <c r="G36" i="31"/>
  <c r="M15" i="19"/>
  <c r="M21" i="19"/>
  <c r="M9" i="19"/>
  <c r="M16" i="19"/>
  <c r="M22" i="19"/>
  <c r="N6" i="19"/>
  <c r="L7" i="20"/>
  <c r="Q7" i="20" s="1"/>
  <c r="L30" i="6"/>
  <c r="L31" i="6"/>
  <c r="M6" i="6"/>
  <c r="I7" i="26"/>
  <c r="L7" i="6"/>
  <c r="G50" i="23"/>
  <c r="E14" i="26"/>
  <c r="E19" i="26" s="1"/>
  <c r="F29" i="26"/>
  <c r="E32" i="26"/>
  <c r="E13" i="26"/>
  <c r="E18" i="26" s="1"/>
  <c r="L31" i="19"/>
  <c r="G16" i="26" s="1"/>
  <c r="E16" i="26"/>
  <c r="G34" i="26"/>
  <c r="G31" i="26"/>
  <c r="F37" i="26"/>
  <c r="E65" i="31" l="1"/>
  <c r="D70" i="31"/>
  <c r="E67" i="31"/>
  <c r="D67" i="31"/>
  <c r="G45" i="31"/>
  <c r="G46" i="31"/>
  <c r="F56" i="31"/>
  <c r="F62" i="31" s="1"/>
  <c r="M31" i="6"/>
  <c r="J7" i="26"/>
  <c r="O6" i="19"/>
  <c r="M30" i="6"/>
  <c r="N6" i="6"/>
  <c r="M7" i="6"/>
  <c r="M11" i="19"/>
  <c r="H13" i="26" s="1"/>
  <c r="H18" i="26" s="1"/>
  <c r="M23" i="19"/>
  <c r="M31" i="19"/>
  <c r="F57" i="31"/>
  <c r="F64" i="31" s="1"/>
  <c r="N30" i="19"/>
  <c r="N10" i="19"/>
  <c r="N9" i="19"/>
  <c r="N16" i="19"/>
  <c r="N21" i="19"/>
  <c r="H36" i="31"/>
  <c r="N15" i="19"/>
  <c r="N29" i="19"/>
  <c r="N22" i="19"/>
  <c r="N23" i="19" s="1"/>
  <c r="I15" i="26" s="1"/>
  <c r="I20" i="26" s="1"/>
  <c r="G37" i="26"/>
  <c r="G29" i="26"/>
  <c r="F32" i="26"/>
  <c r="L8" i="20"/>
  <c r="Q8" i="20" s="1"/>
  <c r="N7" i="19"/>
  <c r="H37" i="31" s="1"/>
  <c r="H59" i="31" s="1"/>
  <c r="G51" i="23"/>
  <c r="L20" i="6"/>
  <c r="L18" i="6"/>
  <c r="I8" i="26"/>
  <c r="I24" i="26" s="1"/>
  <c r="L26" i="6"/>
  <c r="L13" i="6"/>
  <c r="L19" i="6"/>
  <c r="L24" i="6"/>
  <c r="L12" i="6"/>
  <c r="L14" i="6"/>
  <c r="L25" i="6"/>
  <c r="M17" i="19"/>
  <c r="H31" i="26"/>
  <c r="H34" i="26"/>
  <c r="E70" i="31" l="1"/>
  <c r="F65" i="31"/>
  <c r="F63" i="31"/>
  <c r="H45" i="31"/>
  <c r="H46" i="31"/>
  <c r="H69" i="31" s="1"/>
  <c r="F68" i="31"/>
  <c r="G69" i="31"/>
  <c r="G56" i="31"/>
  <c r="G62" i="31" s="1"/>
  <c r="N17" i="19"/>
  <c r="I14" i="26" s="1"/>
  <c r="I19" i="26" s="1"/>
  <c r="H29" i="26"/>
  <c r="G32" i="26"/>
  <c r="G57" i="31"/>
  <c r="G64" i="31" s="1"/>
  <c r="O10" i="19"/>
  <c r="O30" i="19"/>
  <c r="O15" i="19"/>
  <c r="O9" i="19"/>
  <c r="O21" i="19"/>
  <c r="I36" i="31"/>
  <c r="O16" i="19"/>
  <c r="O29" i="19"/>
  <c r="O22" i="19"/>
  <c r="O23" i="19" s="1"/>
  <c r="J15" i="26" s="1"/>
  <c r="J20" i="26" s="1"/>
  <c r="H14" i="26"/>
  <c r="H19" i="26" s="1"/>
  <c r="H37" i="26"/>
  <c r="I34" i="26"/>
  <c r="I31" i="26"/>
  <c r="N11" i="19"/>
  <c r="H16" i="26"/>
  <c r="O7" i="19"/>
  <c r="I37" i="31" s="1"/>
  <c r="I59" i="31" s="1"/>
  <c r="M12" i="6"/>
  <c r="M26" i="6"/>
  <c r="M19" i="6"/>
  <c r="M18" i="6"/>
  <c r="M25" i="6"/>
  <c r="J8" i="26"/>
  <c r="J24" i="26" s="1"/>
  <c r="M20" i="6"/>
  <c r="M14" i="6"/>
  <c r="M13" i="6"/>
  <c r="M24" i="6"/>
  <c r="N31" i="19"/>
  <c r="I16" i="26" s="1"/>
  <c r="H15" i="26"/>
  <c r="H20" i="26" s="1"/>
  <c r="P6" i="19"/>
  <c r="K7" i="26"/>
  <c r="N30" i="6"/>
  <c r="N31" i="6"/>
  <c r="O6" i="6"/>
  <c r="N7" i="6"/>
  <c r="G65" i="31" l="1"/>
  <c r="F70" i="31"/>
  <c r="G63" i="31"/>
  <c r="G67" i="31" s="1"/>
  <c r="H63" i="31"/>
  <c r="F67" i="31"/>
  <c r="I45" i="31"/>
  <c r="I46" i="31"/>
  <c r="G68" i="31"/>
  <c r="H56" i="31"/>
  <c r="H62" i="31" s="1"/>
  <c r="O17" i="19"/>
  <c r="J14" i="26" s="1"/>
  <c r="J19" i="26" s="1"/>
  <c r="O31" i="19"/>
  <c r="J16" i="26" s="1"/>
  <c r="O11" i="19"/>
  <c r="J13" i="26" s="1"/>
  <c r="J18" i="26" s="1"/>
  <c r="N12" i="6"/>
  <c r="N18" i="6"/>
  <c r="N19" i="6"/>
  <c r="N24" i="6"/>
  <c r="N14" i="6"/>
  <c r="N25" i="6"/>
  <c r="N20" i="6"/>
  <c r="P7" i="19"/>
  <c r="J37" i="31" s="1"/>
  <c r="J59" i="31" s="1"/>
  <c r="N13" i="6"/>
  <c r="N26" i="6"/>
  <c r="K8" i="26"/>
  <c r="K24" i="26" s="1"/>
  <c r="L7" i="26"/>
  <c r="O31" i="6"/>
  <c r="O30" i="6"/>
  <c r="Q6" i="19"/>
  <c r="O7" i="6"/>
  <c r="P6" i="6"/>
  <c r="P30" i="19"/>
  <c r="P10" i="19"/>
  <c r="P16" i="19"/>
  <c r="P9" i="19"/>
  <c r="P15" i="19"/>
  <c r="J36" i="31"/>
  <c r="P21" i="19"/>
  <c r="P22" i="19"/>
  <c r="P29" i="19"/>
  <c r="J31" i="26"/>
  <c r="J34" i="26"/>
  <c r="I37" i="26"/>
  <c r="I13" i="26"/>
  <c r="I18" i="26" s="1"/>
  <c r="H57" i="31"/>
  <c r="H64" i="31" s="1"/>
  <c r="H32" i="26"/>
  <c r="I29" i="26"/>
  <c r="H65" i="31" l="1"/>
  <c r="H70" i="31" s="1"/>
  <c r="G70" i="31"/>
  <c r="H67" i="31"/>
  <c r="I69" i="31"/>
  <c r="I56" i="31"/>
  <c r="I62" i="31" s="1"/>
  <c r="J45" i="31"/>
  <c r="J46" i="31"/>
  <c r="H68" i="31"/>
  <c r="J37" i="26"/>
  <c r="P17" i="19"/>
  <c r="K14" i="26" s="1"/>
  <c r="K19" i="26" s="1"/>
  <c r="P11" i="19"/>
  <c r="K13" i="26" s="1"/>
  <c r="K18" i="26" s="1"/>
  <c r="J29" i="26"/>
  <c r="I32" i="26"/>
  <c r="Q10" i="19"/>
  <c r="Q30" i="19"/>
  <c r="Q21" i="19"/>
  <c r="Q22" i="19"/>
  <c r="Q16" i="19"/>
  <c r="Q9" i="19"/>
  <c r="K36" i="31"/>
  <c r="Q29" i="19"/>
  <c r="Q15" i="19"/>
  <c r="P31" i="19"/>
  <c r="Q7" i="19"/>
  <c r="K37" i="31" s="1"/>
  <c r="K59" i="31" s="1"/>
  <c r="O13" i="6"/>
  <c r="O19" i="6"/>
  <c r="O18" i="6"/>
  <c r="O24" i="6"/>
  <c r="O12" i="6"/>
  <c r="L8" i="26"/>
  <c r="L24" i="26" s="1"/>
  <c r="O26" i="6"/>
  <c r="O20" i="6"/>
  <c r="O25" i="6"/>
  <c r="O14" i="6"/>
  <c r="I57" i="31"/>
  <c r="I64" i="31" s="1"/>
  <c r="P23" i="19"/>
  <c r="P31" i="6"/>
  <c r="P30" i="6"/>
  <c r="M7" i="26"/>
  <c r="P7" i="6"/>
  <c r="R6" i="19"/>
  <c r="Q6" i="6"/>
  <c r="K31" i="26"/>
  <c r="K34" i="26"/>
  <c r="I65" i="31" l="1"/>
  <c r="I70" i="31" s="1"/>
  <c r="I63" i="31"/>
  <c r="K45" i="31"/>
  <c r="K46" i="31"/>
  <c r="J69" i="31"/>
  <c r="I68" i="31"/>
  <c r="J56" i="31"/>
  <c r="J62" i="31" s="1"/>
  <c r="Q23" i="19"/>
  <c r="L15" i="26" s="1"/>
  <c r="L20" i="26" s="1"/>
  <c r="K37" i="26"/>
  <c r="R30" i="19"/>
  <c r="R10" i="19"/>
  <c r="L36" i="31"/>
  <c r="R21" i="19"/>
  <c r="R15" i="19"/>
  <c r="R16" i="19"/>
  <c r="R17" i="19" s="1"/>
  <c r="M14" i="26" s="1"/>
  <c r="M19" i="26" s="1"/>
  <c r="R9" i="19"/>
  <c r="R22" i="19"/>
  <c r="R29" i="19"/>
  <c r="P14" i="6"/>
  <c r="P13" i="6"/>
  <c r="P19" i="6"/>
  <c r="R7" i="19"/>
  <c r="L37" i="31" s="1"/>
  <c r="L59" i="31" s="1"/>
  <c r="P24" i="6"/>
  <c r="P25" i="6"/>
  <c r="P12" i="6"/>
  <c r="P20" i="6"/>
  <c r="P18" i="6"/>
  <c r="M8" i="26"/>
  <c r="M24" i="26" s="1"/>
  <c r="P26" i="6"/>
  <c r="K16" i="26"/>
  <c r="Q31" i="19"/>
  <c r="L16" i="26" s="1"/>
  <c r="J32" i="26"/>
  <c r="K29" i="26"/>
  <c r="K15" i="26"/>
  <c r="K20" i="26" s="1"/>
  <c r="N7" i="26"/>
  <c r="Q30" i="6"/>
  <c r="Q31" i="6"/>
  <c r="S6" i="19"/>
  <c r="R6" i="6"/>
  <c r="Q7" i="6"/>
  <c r="J57" i="31"/>
  <c r="J64" i="31" s="1"/>
  <c r="L34" i="26"/>
  <c r="L31" i="26"/>
  <c r="Q17" i="19"/>
  <c r="Q11" i="19"/>
  <c r="J68" i="31" l="1"/>
  <c r="J65" i="31"/>
  <c r="J63" i="31"/>
  <c r="J67" i="31" s="1"/>
  <c r="I67" i="31"/>
  <c r="K56" i="31"/>
  <c r="K62" i="31" s="1"/>
  <c r="K63" i="31" s="1"/>
  <c r="K69" i="31"/>
  <c r="L45" i="31"/>
  <c r="L46" i="31"/>
  <c r="L69" i="31" s="1"/>
  <c r="R23" i="19"/>
  <c r="M15" i="26" s="1"/>
  <c r="M20" i="26" s="1"/>
  <c r="M34" i="26"/>
  <c r="M31" i="26"/>
  <c r="L14" i="26"/>
  <c r="L19" i="26" s="1"/>
  <c r="L13" i="26"/>
  <c r="L18" i="26" s="1"/>
  <c r="S30" i="19"/>
  <c r="S10" i="19"/>
  <c r="S21" i="19"/>
  <c r="S16" i="19"/>
  <c r="S15" i="19"/>
  <c r="S22" i="19"/>
  <c r="S9" i="19"/>
  <c r="S29" i="19"/>
  <c r="M36" i="31"/>
  <c r="S7" i="19"/>
  <c r="M37" i="31" s="1"/>
  <c r="M59" i="31" s="1"/>
  <c r="Q26" i="6"/>
  <c r="Q12" i="6"/>
  <c r="Q19" i="6"/>
  <c r="Q20" i="6"/>
  <c r="Q24" i="6"/>
  <c r="Q13" i="6"/>
  <c r="Q14" i="6"/>
  <c r="Q18" i="6"/>
  <c r="Q25" i="6"/>
  <c r="N8" i="26"/>
  <c r="N24" i="26" s="1"/>
  <c r="K32" i="26"/>
  <c r="L29" i="26"/>
  <c r="R11" i="19"/>
  <c r="M13" i="26" s="1"/>
  <c r="M18" i="26" s="1"/>
  <c r="K57" i="31"/>
  <c r="K64" i="31" s="1"/>
  <c r="L37" i="26"/>
  <c r="T6" i="19"/>
  <c r="R30" i="6"/>
  <c r="R31" i="6"/>
  <c r="R7" i="6"/>
  <c r="O7" i="26"/>
  <c r="S6" i="6"/>
  <c r="R31" i="19"/>
  <c r="M16" i="26" s="1"/>
  <c r="K68" i="31" l="1"/>
  <c r="K65" i="31"/>
  <c r="J70" i="31"/>
  <c r="K67" i="31"/>
  <c r="M45" i="31"/>
  <c r="M46" i="31"/>
  <c r="M69" i="31" s="1"/>
  <c r="L56" i="31"/>
  <c r="L62" i="31" s="1"/>
  <c r="L63" i="31" s="1"/>
  <c r="S31" i="19"/>
  <c r="N16" i="26" s="1"/>
  <c r="L57" i="31"/>
  <c r="L64" i="31" s="1"/>
  <c r="S23" i="19"/>
  <c r="M37" i="26"/>
  <c r="L32" i="26"/>
  <c r="M29" i="26"/>
  <c r="S30" i="6"/>
  <c r="S31" i="6"/>
  <c r="P7" i="26"/>
  <c r="S7" i="6"/>
  <c r="U6" i="19"/>
  <c r="T6" i="6"/>
  <c r="S11" i="19"/>
  <c r="N13" i="26" s="1"/>
  <c r="N18" i="26" s="1"/>
  <c r="T30" i="19"/>
  <c r="T10" i="19"/>
  <c r="T16" i="19"/>
  <c r="T15" i="19"/>
  <c r="T29" i="19"/>
  <c r="T21" i="19"/>
  <c r="N36" i="31"/>
  <c r="T22" i="19"/>
  <c r="T9" i="19"/>
  <c r="N31" i="26"/>
  <c r="N34" i="26"/>
  <c r="T7" i="19"/>
  <c r="N37" i="31" s="1"/>
  <c r="N59" i="31" s="1"/>
  <c r="R24" i="6"/>
  <c r="R18" i="6"/>
  <c r="R13" i="6"/>
  <c r="R19" i="6"/>
  <c r="R12" i="6"/>
  <c r="R20" i="6"/>
  <c r="R14" i="6"/>
  <c r="R25" i="6"/>
  <c r="R26" i="6"/>
  <c r="O8" i="26"/>
  <c r="O24" i="26" s="1"/>
  <c r="S17" i="19"/>
  <c r="N14" i="26" s="1"/>
  <c r="N19" i="26" s="1"/>
  <c r="L68" i="31" l="1"/>
  <c r="L65" i="31"/>
  <c r="K70" i="31"/>
  <c r="L67" i="31"/>
  <c r="N45" i="31"/>
  <c r="N46" i="31"/>
  <c r="N69" i="31" s="1"/>
  <c r="M56" i="31"/>
  <c r="M62" i="31" s="1"/>
  <c r="M63" i="31" s="1"/>
  <c r="T17" i="19"/>
  <c r="O14" i="26" s="1"/>
  <c r="O19" i="26" s="1"/>
  <c r="N37" i="26"/>
  <c r="T11" i="19"/>
  <c r="O13" i="26" s="1"/>
  <c r="O18" i="26" s="1"/>
  <c r="O34" i="26"/>
  <c r="O31" i="26"/>
  <c r="T7" i="6"/>
  <c r="T30" i="6"/>
  <c r="Q7" i="26"/>
  <c r="U6" i="6"/>
  <c r="V6" i="19"/>
  <c r="T31" i="6"/>
  <c r="U30" i="19"/>
  <c r="U10" i="19"/>
  <c r="U22" i="19"/>
  <c r="U15" i="19"/>
  <c r="O36" i="31"/>
  <c r="U9" i="19"/>
  <c r="U29" i="19"/>
  <c r="U21" i="19"/>
  <c r="U16" i="19"/>
  <c r="U17" i="19" s="1"/>
  <c r="P14" i="26" s="1"/>
  <c r="P19" i="26" s="1"/>
  <c r="T31" i="19"/>
  <c r="O16" i="26" s="1"/>
  <c r="S19" i="6"/>
  <c r="S18" i="6"/>
  <c r="U7" i="19"/>
  <c r="O37" i="31" s="1"/>
  <c r="O59" i="31" s="1"/>
  <c r="S24" i="6"/>
  <c r="S12" i="6"/>
  <c r="S14" i="6"/>
  <c r="S20" i="6"/>
  <c r="S25" i="6"/>
  <c r="P8" i="26"/>
  <c r="P24" i="26" s="1"/>
  <c r="S26" i="6"/>
  <c r="S13" i="6"/>
  <c r="M57" i="31"/>
  <c r="M64" i="31" s="1"/>
  <c r="N15" i="26"/>
  <c r="N20" i="26" s="1"/>
  <c r="T23" i="19"/>
  <c r="O15" i="26" s="1"/>
  <c r="O20" i="26" s="1"/>
  <c r="N29" i="26"/>
  <c r="M32" i="26"/>
  <c r="M68" i="31" l="1"/>
  <c r="M65" i="31"/>
  <c r="L70" i="31"/>
  <c r="M67" i="31"/>
  <c r="O45" i="31"/>
  <c r="O46" i="31"/>
  <c r="O69" i="31" s="1"/>
  <c r="N56" i="31"/>
  <c r="N62" i="31" s="1"/>
  <c r="N63" i="31" s="1"/>
  <c r="U23" i="19"/>
  <c r="P15" i="26" s="1"/>
  <c r="P20" i="26" s="1"/>
  <c r="U11" i="19"/>
  <c r="P13" i="26" s="1"/>
  <c r="P18" i="26" s="1"/>
  <c r="V10" i="19"/>
  <c r="V30" i="19"/>
  <c r="V9" i="19"/>
  <c r="V21" i="19"/>
  <c r="V29" i="19"/>
  <c r="V22" i="19"/>
  <c r="P36" i="31"/>
  <c r="V15" i="19"/>
  <c r="V16" i="19"/>
  <c r="V7" i="19"/>
  <c r="P37" i="31" s="1"/>
  <c r="P59" i="31" s="1"/>
  <c r="T24" i="6"/>
  <c r="T20" i="6"/>
  <c r="T19" i="6"/>
  <c r="T26" i="6"/>
  <c r="T14" i="6"/>
  <c r="T13" i="6"/>
  <c r="T25" i="6"/>
  <c r="T18" i="6"/>
  <c r="T12" i="6"/>
  <c r="Q8" i="26"/>
  <c r="Q24" i="26" s="1"/>
  <c r="U31" i="19"/>
  <c r="P16" i="26" s="1"/>
  <c r="U31" i="6"/>
  <c r="U30" i="6"/>
  <c r="V6" i="6"/>
  <c r="U7" i="6"/>
  <c r="R7" i="26"/>
  <c r="W6" i="19"/>
  <c r="N32" i="26"/>
  <c r="O29" i="26"/>
  <c r="N57" i="31"/>
  <c r="N64" i="31" s="1"/>
  <c r="P34" i="26"/>
  <c r="P31" i="26"/>
  <c r="O37" i="26"/>
  <c r="N68" i="31" l="1"/>
  <c r="N65" i="31"/>
  <c r="N70" i="31"/>
  <c r="M70" i="31"/>
  <c r="N67" i="31"/>
  <c r="P45" i="31"/>
  <c r="P46" i="31"/>
  <c r="P69" i="31" s="1"/>
  <c r="O56" i="31"/>
  <c r="O62" i="31" s="1"/>
  <c r="O63" i="31" s="1"/>
  <c r="V31" i="19"/>
  <c r="Q16" i="26" s="1"/>
  <c r="P29" i="26"/>
  <c r="O32" i="26"/>
  <c r="U25" i="6"/>
  <c r="U14" i="6"/>
  <c r="U12" i="6"/>
  <c r="U13" i="6"/>
  <c r="U20" i="6"/>
  <c r="R8" i="26"/>
  <c r="R24" i="26" s="1"/>
  <c r="U26" i="6"/>
  <c r="U18" i="6"/>
  <c r="U19" i="6"/>
  <c r="U24" i="6"/>
  <c r="W7" i="19"/>
  <c r="Q37" i="31" s="1"/>
  <c r="Q59" i="31" s="1"/>
  <c r="V30" i="6"/>
  <c r="S7" i="26"/>
  <c r="V31" i="6"/>
  <c r="X6" i="19"/>
  <c r="W6" i="6"/>
  <c r="V7" i="6"/>
  <c r="V23" i="19"/>
  <c r="Q15" i="26" s="1"/>
  <c r="Q20" i="26" s="1"/>
  <c r="P37" i="26"/>
  <c r="O57" i="31"/>
  <c r="O64" i="31" s="1"/>
  <c r="W10" i="19"/>
  <c r="W30" i="19"/>
  <c r="W16" i="19"/>
  <c r="W21" i="19"/>
  <c r="W15" i="19"/>
  <c r="Q36" i="31"/>
  <c r="W9" i="19"/>
  <c r="W22" i="19"/>
  <c r="W23" i="19" s="1"/>
  <c r="R15" i="26" s="1"/>
  <c r="R20" i="26" s="1"/>
  <c r="W29" i="19"/>
  <c r="Q31" i="26"/>
  <c r="Q34" i="26"/>
  <c r="V17" i="19"/>
  <c r="Q14" i="26" s="1"/>
  <c r="Q19" i="26" s="1"/>
  <c r="V11" i="19"/>
  <c r="Q13" i="26" s="1"/>
  <c r="Q18" i="26" s="1"/>
  <c r="O68" i="31" l="1"/>
  <c r="O65" i="31"/>
  <c r="O67" i="31"/>
  <c r="Q45" i="31"/>
  <c r="Q46" i="31"/>
  <c r="Q69" i="31" s="1"/>
  <c r="P56" i="31"/>
  <c r="P62" i="31" s="1"/>
  <c r="P63" i="31" s="1"/>
  <c r="W11" i="19"/>
  <c r="R13" i="26" s="1"/>
  <c r="R18" i="26" s="1"/>
  <c r="P57" i="31"/>
  <c r="P64" i="31" s="1"/>
  <c r="Q37" i="26"/>
  <c r="W17" i="19"/>
  <c r="R14" i="26" s="1"/>
  <c r="R19" i="26" s="1"/>
  <c r="V18" i="6"/>
  <c r="V24" i="6"/>
  <c r="V13" i="6"/>
  <c r="V26" i="6"/>
  <c r="V25" i="6"/>
  <c r="V14" i="6"/>
  <c r="V20" i="6"/>
  <c r="X7" i="19"/>
  <c r="R37" i="31" s="1"/>
  <c r="R59" i="31" s="1"/>
  <c r="V12" i="6"/>
  <c r="V19" i="6"/>
  <c r="S8" i="26"/>
  <c r="S24" i="26" s="1"/>
  <c r="X30" i="19"/>
  <c r="X10" i="19"/>
  <c r="X22" i="19"/>
  <c r="X16" i="19"/>
  <c r="X15" i="19"/>
  <c r="R36" i="31"/>
  <c r="X9" i="19"/>
  <c r="X29" i="19"/>
  <c r="X21" i="19"/>
  <c r="W31" i="19"/>
  <c r="R16" i="26" s="1"/>
  <c r="T7" i="26"/>
  <c r="Y6" i="19"/>
  <c r="W31" i="6"/>
  <c r="W30" i="6"/>
  <c r="X6" i="6"/>
  <c r="W7" i="6"/>
  <c r="R31" i="26"/>
  <c r="R34" i="26"/>
  <c r="P32" i="26"/>
  <c r="Q29" i="26"/>
  <c r="P68" i="31" l="1"/>
  <c r="P65" i="31"/>
  <c r="O70" i="31"/>
  <c r="P67" i="31"/>
  <c r="R45" i="31"/>
  <c r="R46" i="31"/>
  <c r="R69" i="31" s="1"/>
  <c r="Q56" i="31"/>
  <c r="Q62" i="31" s="1"/>
  <c r="Q63" i="31" s="1"/>
  <c r="R37" i="26"/>
  <c r="X11" i="19"/>
  <c r="S13" i="26" s="1"/>
  <c r="S18" i="26" s="1"/>
  <c r="X31" i="19"/>
  <c r="S16" i="26" s="1"/>
  <c r="Q57" i="31"/>
  <c r="Q64" i="31" s="1"/>
  <c r="W25" i="6"/>
  <c r="W26" i="6"/>
  <c r="W18" i="6"/>
  <c r="W20" i="6"/>
  <c r="W19" i="6"/>
  <c r="W12" i="6"/>
  <c r="W24" i="6"/>
  <c r="W14" i="6"/>
  <c r="W13" i="6"/>
  <c r="T8" i="26"/>
  <c r="T24" i="26" s="1"/>
  <c r="Y7" i="19"/>
  <c r="S37" i="31" s="1"/>
  <c r="S59" i="31" s="1"/>
  <c r="Y30" i="19"/>
  <c r="Y10" i="19"/>
  <c r="Y21" i="19"/>
  <c r="S36" i="31"/>
  <c r="Y9" i="19"/>
  <c r="Y16" i="19"/>
  <c r="Y15" i="19"/>
  <c r="Y22" i="19"/>
  <c r="Y29" i="19"/>
  <c r="X17" i="19"/>
  <c r="S14" i="26" s="1"/>
  <c r="S19" i="26" s="1"/>
  <c r="S31" i="26"/>
  <c r="S34" i="26"/>
  <c r="Q32" i="26"/>
  <c r="R29" i="26"/>
  <c r="U7" i="26"/>
  <c r="X31" i="6"/>
  <c r="Y6" i="6"/>
  <c r="X30" i="6"/>
  <c r="X7" i="6"/>
  <c r="Z6" i="19"/>
  <c r="X23" i="19"/>
  <c r="S15" i="26" s="1"/>
  <c r="S20" i="26" s="1"/>
  <c r="Q68" i="31" l="1"/>
  <c r="Q65" i="31"/>
  <c r="Q70" i="31" s="1"/>
  <c r="P70" i="31"/>
  <c r="Q67" i="31"/>
  <c r="S45" i="31"/>
  <c r="S46" i="31"/>
  <c r="S69" i="31" s="1"/>
  <c r="R56" i="31"/>
  <c r="R62" i="31" s="1"/>
  <c r="R63" i="31" s="1"/>
  <c r="Y17" i="19"/>
  <c r="T14" i="26" s="1"/>
  <c r="T19" i="26" s="1"/>
  <c r="S37" i="26"/>
  <c r="Y23" i="19"/>
  <c r="T15" i="26" s="1"/>
  <c r="T20" i="26" s="1"/>
  <c r="Y11" i="19"/>
  <c r="T13" i="26" s="1"/>
  <c r="T18" i="26" s="1"/>
  <c r="S29" i="26"/>
  <c r="R32" i="26"/>
  <c r="Y31" i="6"/>
  <c r="Y30" i="6"/>
  <c r="Z6" i="6"/>
  <c r="Y7" i="6"/>
  <c r="V7" i="26"/>
  <c r="AA6" i="19"/>
  <c r="Y31" i="19"/>
  <c r="T16" i="26" s="1"/>
  <c r="Z10" i="19"/>
  <c r="Z30" i="19"/>
  <c r="Z22" i="19"/>
  <c r="Z16" i="19"/>
  <c r="Z15" i="19"/>
  <c r="Z21" i="19"/>
  <c r="Z9" i="19"/>
  <c r="Z29" i="19"/>
  <c r="T36" i="31"/>
  <c r="R57" i="31"/>
  <c r="R64" i="31" s="1"/>
  <c r="X14" i="6"/>
  <c r="X13" i="6"/>
  <c r="X24" i="6"/>
  <c r="X26" i="6"/>
  <c r="U8" i="26"/>
  <c r="U24" i="26" s="1"/>
  <c r="X18" i="6"/>
  <c r="X25" i="6"/>
  <c r="X12" i="6"/>
  <c r="X19" i="6"/>
  <c r="Z7" i="19"/>
  <c r="T37" i="31" s="1"/>
  <c r="T59" i="31" s="1"/>
  <c r="X20" i="6"/>
  <c r="T34" i="26"/>
  <c r="T31" i="26"/>
  <c r="R68" i="31" l="1"/>
  <c r="R65" i="31"/>
  <c r="R70" i="31"/>
  <c r="R67" i="31"/>
  <c r="T45" i="31"/>
  <c r="T46" i="31"/>
  <c r="T69" i="31" s="1"/>
  <c r="S56" i="31"/>
  <c r="S62" i="31" s="1"/>
  <c r="S63" i="31" s="1"/>
  <c r="Z11" i="19"/>
  <c r="U13" i="26" s="1"/>
  <c r="U18" i="26" s="1"/>
  <c r="Z31" i="19"/>
  <c r="U16" i="26" s="1"/>
  <c r="U34" i="26"/>
  <c r="U31" i="26"/>
  <c r="T37" i="26"/>
  <c r="AA7" i="19"/>
  <c r="U37" i="31" s="1"/>
  <c r="U59" i="31" s="1"/>
  <c r="Y19" i="6"/>
  <c r="Y12" i="6"/>
  <c r="Y13" i="6"/>
  <c r="Y26" i="6"/>
  <c r="Y18" i="6"/>
  <c r="Y25" i="6"/>
  <c r="Y20" i="6"/>
  <c r="Y24" i="6"/>
  <c r="Y14" i="6"/>
  <c r="V8" i="26"/>
  <c r="V24" i="26" s="1"/>
  <c r="S57" i="31"/>
  <c r="S64" i="31" s="1"/>
  <c r="Z17" i="19"/>
  <c r="U14" i="26" s="1"/>
  <c r="U19" i="26" s="1"/>
  <c r="AB6" i="19"/>
  <c r="Z30" i="6"/>
  <c r="Z31" i="6"/>
  <c r="AA6" i="6"/>
  <c r="Z7" i="6"/>
  <c r="W7" i="26"/>
  <c r="T29" i="26"/>
  <c r="S32" i="26"/>
  <c r="Z23" i="19"/>
  <c r="U15" i="26" s="1"/>
  <c r="U20" i="26" s="1"/>
  <c r="AA30" i="19"/>
  <c r="AA10" i="19"/>
  <c r="AA16" i="19"/>
  <c r="AA22" i="19"/>
  <c r="AA29" i="19"/>
  <c r="U36" i="31"/>
  <c r="AA15" i="19"/>
  <c r="AA21" i="19"/>
  <c r="AA9" i="19"/>
  <c r="S68" i="31" l="1"/>
  <c r="S65" i="31"/>
  <c r="S67" i="31"/>
  <c r="U45" i="31"/>
  <c r="U46" i="31"/>
  <c r="U69" i="31" s="1"/>
  <c r="T56" i="31"/>
  <c r="T62" i="31" s="1"/>
  <c r="T63" i="31" s="1"/>
  <c r="AA11" i="19"/>
  <c r="V13" i="26" s="1"/>
  <c r="V18" i="26" s="1"/>
  <c r="AC6" i="19"/>
  <c r="AA7" i="6"/>
  <c r="AA31" i="6"/>
  <c r="X7" i="26"/>
  <c r="AB6" i="6"/>
  <c r="AA30" i="6"/>
  <c r="V34" i="26"/>
  <c r="V31" i="26"/>
  <c r="AA31" i="19"/>
  <c r="V16" i="26" s="1"/>
  <c r="T32" i="26"/>
  <c r="U29" i="26"/>
  <c r="AA23" i="19"/>
  <c r="V15" i="26" s="1"/>
  <c r="V20" i="26" s="1"/>
  <c r="AA17" i="19"/>
  <c r="V14" i="26" s="1"/>
  <c r="V19" i="26" s="1"/>
  <c r="W8" i="26"/>
  <c r="W24" i="26" s="1"/>
  <c r="AB7" i="19"/>
  <c r="V37" i="31" s="1"/>
  <c r="V59" i="31" s="1"/>
  <c r="Z20" i="6"/>
  <c r="Z25" i="6"/>
  <c r="Z24" i="6"/>
  <c r="Z19" i="6"/>
  <c r="Z14" i="6"/>
  <c r="Z13" i="6"/>
  <c r="Z18" i="6"/>
  <c r="Z26" i="6"/>
  <c r="Z12" i="6"/>
  <c r="AB10" i="19"/>
  <c r="AB16" i="19"/>
  <c r="AB30" i="19"/>
  <c r="AB22" i="19"/>
  <c r="V36" i="31"/>
  <c r="AB21" i="19"/>
  <c r="AB15" i="19"/>
  <c r="AB9" i="19"/>
  <c r="AB29" i="19"/>
  <c r="T57" i="31"/>
  <c r="T64" i="31" s="1"/>
  <c r="U37" i="26"/>
  <c r="T68" i="31" l="1"/>
  <c r="T65" i="31"/>
  <c r="S70" i="31"/>
  <c r="T67" i="31"/>
  <c r="V45" i="31"/>
  <c r="V46" i="31"/>
  <c r="V69" i="31" s="1"/>
  <c r="U56" i="31"/>
  <c r="U62" i="31" s="1"/>
  <c r="U63" i="31" s="1"/>
  <c r="AB11" i="19"/>
  <c r="W13" i="26" s="1"/>
  <c r="W18" i="26" s="1"/>
  <c r="V37" i="26"/>
  <c r="AB23" i="19"/>
  <c r="W15" i="26" s="1"/>
  <c r="W20" i="26" s="1"/>
  <c r="W34" i="26"/>
  <c r="W31" i="26"/>
  <c r="V29" i="26"/>
  <c r="U32" i="26"/>
  <c r="AC7" i="19"/>
  <c r="W37" i="31" s="1"/>
  <c r="W59" i="31" s="1"/>
  <c r="AA26" i="6"/>
  <c r="AA24" i="6"/>
  <c r="X8" i="26"/>
  <c r="X24" i="26" s="1"/>
  <c r="AA13" i="6"/>
  <c r="AA25" i="6"/>
  <c r="AA19" i="6"/>
  <c r="AA18" i="6"/>
  <c r="AA12" i="6"/>
  <c r="AA20" i="6"/>
  <c r="AA14" i="6"/>
  <c r="U57" i="31"/>
  <c r="U64" i="31" s="1"/>
  <c r="U65" i="31" s="1"/>
  <c r="AB31" i="19"/>
  <c r="W16" i="26" s="1"/>
  <c r="Y7" i="26"/>
  <c r="AB7" i="6"/>
  <c r="AB31" i="6"/>
  <c r="AD6" i="19"/>
  <c r="AB30" i="6"/>
  <c r="AC6" i="6"/>
  <c r="AC10" i="19"/>
  <c r="AC30" i="19"/>
  <c r="AC22" i="19"/>
  <c r="AC9" i="19"/>
  <c r="W36" i="31"/>
  <c r="AC21" i="19"/>
  <c r="AC15" i="19"/>
  <c r="AC16" i="19"/>
  <c r="AC29" i="19"/>
  <c r="AB17" i="19"/>
  <c r="W14" i="26" s="1"/>
  <c r="W19" i="26" s="1"/>
  <c r="U70" i="31" l="1"/>
  <c r="U68" i="31"/>
  <c r="T70" i="31"/>
  <c r="U67" i="31"/>
  <c r="W45" i="31"/>
  <c r="W46" i="31"/>
  <c r="W69" i="31" s="1"/>
  <c r="AC17" i="19"/>
  <c r="X14" i="26" s="1"/>
  <c r="X19" i="26" s="1"/>
  <c r="V56" i="31"/>
  <c r="V62" i="31" s="1"/>
  <c r="V63" i="31" s="1"/>
  <c r="AC23" i="19"/>
  <c r="X15" i="26" s="1"/>
  <c r="X20" i="26" s="1"/>
  <c r="V57" i="31"/>
  <c r="V64" i="31" s="1"/>
  <c r="W37" i="26"/>
  <c r="AE6" i="19"/>
  <c r="AC30" i="6"/>
  <c r="AD6" i="6"/>
  <c r="Z7" i="26"/>
  <c r="AC7" i="6"/>
  <c r="AC31" i="6"/>
  <c r="AC31" i="19"/>
  <c r="X16" i="26" s="1"/>
  <c r="AD30" i="19"/>
  <c r="AD10" i="19"/>
  <c r="AD16" i="19"/>
  <c r="AD15" i="19"/>
  <c r="AD22" i="19"/>
  <c r="AD29" i="19"/>
  <c r="AD21" i="19"/>
  <c r="AD9" i="19"/>
  <c r="X36" i="31"/>
  <c r="X34" i="26"/>
  <c r="X31" i="26"/>
  <c r="AB24" i="6"/>
  <c r="AB14" i="6"/>
  <c r="AB19" i="6"/>
  <c r="AB12" i="6"/>
  <c r="AB13" i="6"/>
  <c r="AB18" i="6"/>
  <c r="AB26" i="6"/>
  <c r="AB25" i="6"/>
  <c r="AD7" i="19"/>
  <c r="X37" i="31" s="1"/>
  <c r="X59" i="31" s="1"/>
  <c r="AB20" i="6"/>
  <c r="Y8" i="26"/>
  <c r="Y24" i="26" s="1"/>
  <c r="AC11" i="19"/>
  <c r="X13" i="26" s="1"/>
  <c r="X18" i="26" s="1"/>
  <c r="V32" i="26"/>
  <c r="W29" i="26"/>
  <c r="V68" i="31" l="1"/>
  <c r="V65" i="31"/>
  <c r="V67" i="31"/>
  <c r="X45" i="31"/>
  <c r="X46" i="31"/>
  <c r="X69" i="31" s="1"/>
  <c r="W56" i="31"/>
  <c r="W62" i="31" s="1"/>
  <c r="W63" i="31" s="1"/>
  <c r="AD23" i="19"/>
  <c r="Y15" i="26" s="1"/>
  <c r="Y20" i="26" s="1"/>
  <c r="AD31" i="19"/>
  <c r="Y16" i="26" s="1"/>
  <c r="AD31" i="6"/>
  <c r="AE6" i="6"/>
  <c r="AF6" i="19"/>
  <c r="AA7" i="26"/>
  <c r="AD7" i="6"/>
  <c r="AD30" i="6"/>
  <c r="W32" i="26"/>
  <c r="X29" i="26"/>
  <c r="Y34" i="26"/>
  <c r="Y31" i="26"/>
  <c r="AD17" i="19"/>
  <c r="Y14" i="26" s="1"/>
  <c r="Y19" i="26" s="1"/>
  <c r="W57" i="31"/>
  <c r="W64" i="31" s="1"/>
  <c r="X37" i="26"/>
  <c r="AD11" i="19"/>
  <c r="Y13" i="26" s="1"/>
  <c r="Y18" i="26" s="1"/>
  <c r="Z8" i="26"/>
  <c r="Z24" i="26" s="1"/>
  <c r="AC19" i="6"/>
  <c r="AC26" i="6"/>
  <c r="AE7" i="19"/>
  <c r="Y37" i="31" s="1"/>
  <c r="Y59" i="31" s="1"/>
  <c r="AC13" i="6"/>
  <c r="AC18" i="6"/>
  <c r="AC24" i="6"/>
  <c r="AC25" i="6"/>
  <c r="AC20" i="6"/>
  <c r="AC14" i="6"/>
  <c r="AC12" i="6"/>
  <c r="AE30" i="19"/>
  <c r="AE10" i="19"/>
  <c r="AE9" i="19"/>
  <c r="AE16" i="19"/>
  <c r="AE29" i="19"/>
  <c r="AE15" i="19"/>
  <c r="Y36" i="31"/>
  <c r="AE22" i="19"/>
  <c r="AE21" i="19"/>
  <c r="W68" i="31" l="1"/>
  <c r="W65" i="31"/>
  <c r="W70" i="31" s="1"/>
  <c r="V70" i="31"/>
  <c r="W67" i="31"/>
  <c r="Y45" i="31"/>
  <c r="Y46" i="31"/>
  <c r="Y69" i="31" s="1"/>
  <c r="X56" i="31"/>
  <c r="X62" i="31" s="1"/>
  <c r="X63" i="31" s="1"/>
  <c r="AE11" i="19"/>
  <c r="Z13" i="26" s="1"/>
  <c r="Z18" i="26" s="1"/>
  <c r="AE31" i="19"/>
  <c r="Z16" i="26" s="1"/>
  <c r="Z31" i="26"/>
  <c r="Z34" i="26"/>
  <c r="Y37" i="26"/>
  <c r="AB7" i="26"/>
  <c r="AE7" i="6"/>
  <c r="AG6" i="19"/>
  <c r="AE31" i="6"/>
  <c r="AE30" i="6"/>
  <c r="AF6" i="6"/>
  <c r="X57" i="31"/>
  <c r="X64" i="31" s="1"/>
  <c r="AE17" i="19"/>
  <c r="Z14" i="26" s="1"/>
  <c r="Z19" i="26" s="1"/>
  <c r="X32" i="26"/>
  <c r="Y29" i="26"/>
  <c r="AD19" i="6"/>
  <c r="AD18" i="6"/>
  <c r="AD13" i="6"/>
  <c r="AD14" i="6"/>
  <c r="AA8" i="26"/>
  <c r="AA24" i="26" s="1"/>
  <c r="AD26" i="6"/>
  <c r="AD25" i="6"/>
  <c r="AD24" i="6"/>
  <c r="AD20" i="6"/>
  <c r="AD12" i="6"/>
  <c r="AF7" i="19"/>
  <c r="Z37" i="31" s="1"/>
  <c r="Z59" i="31" s="1"/>
  <c r="AF30" i="19"/>
  <c r="AF10" i="19"/>
  <c r="AF16" i="19"/>
  <c r="AF9" i="19"/>
  <c r="Z36" i="31"/>
  <c r="AF22" i="19"/>
  <c r="AF15" i="19"/>
  <c r="AF21" i="19"/>
  <c r="AF29" i="19"/>
  <c r="AE23" i="19"/>
  <c r="Z15" i="26" s="1"/>
  <c r="Z20" i="26" s="1"/>
  <c r="X68" i="31" l="1"/>
  <c r="X65" i="31"/>
  <c r="X67" i="31"/>
  <c r="Z45" i="31"/>
  <c r="Z46" i="31"/>
  <c r="Z69" i="31" s="1"/>
  <c r="Y56" i="31"/>
  <c r="Y62" i="31" s="1"/>
  <c r="Y63" i="31" s="1"/>
  <c r="Z37" i="26"/>
  <c r="AF11" i="19"/>
  <c r="AA13" i="26" s="1"/>
  <c r="AA18" i="26" s="1"/>
  <c r="AF23" i="19"/>
  <c r="AA15" i="26" s="1"/>
  <c r="AA20" i="26" s="1"/>
  <c r="AF17" i="19"/>
  <c r="AA14" i="26" s="1"/>
  <c r="AA19" i="26" s="1"/>
  <c r="AG30" i="19"/>
  <c r="AG10" i="19"/>
  <c r="AG29" i="19"/>
  <c r="AA36" i="31"/>
  <c r="AG21" i="19"/>
  <c r="AG9" i="19"/>
  <c r="AG22" i="19"/>
  <c r="AG16" i="19"/>
  <c r="AG15" i="19"/>
  <c r="AF31" i="6"/>
  <c r="AF30" i="6"/>
  <c r="AH6" i="19"/>
  <c r="AG6" i="6"/>
  <c r="AC7" i="26"/>
  <c r="AF7" i="6"/>
  <c r="AE12" i="6"/>
  <c r="AE26" i="6"/>
  <c r="AE13" i="6"/>
  <c r="AE19" i="6"/>
  <c r="AE24" i="6"/>
  <c r="AB8" i="26"/>
  <c r="AB24" i="26" s="1"/>
  <c r="AE25" i="6"/>
  <c r="AE20" i="6"/>
  <c r="AE14" i="6"/>
  <c r="AG7" i="19"/>
  <c r="AA37" i="31" s="1"/>
  <c r="AA59" i="31" s="1"/>
  <c r="AE18" i="6"/>
  <c r="AA34" i="26"/>
  <c r="AA31" i="26"/>
  <c r="AF31" i="19"/>
  <c r="AA16" i="26" s="1"/>
  <c r="Y32" i="26"/>
  <c r="Z29" i="26"/>
  <c r="Y57" i="31"/>
  <c r="Y64" i="31" s="1"/>
  <c r="Y68" i="31" l="1"/>
  <c r="Y65" i="31"/>
  <c r="X70" i="31"/>
  <c r="Y67" i="31"/>
  <c r="AA45" i="31"/>
  <c r="AA46" i="31"/>
  <c r="AA69" i="31" s="1"/>
  <c r="Z56" i="31"/>
  <c r="Z62" i="31" s="1"/>
  <c r="Z63" i="31" s="1"/>
  <c r="AG23" i="19"/>
  <c r="AB15" i="26" s="1"/>
  <c r="AB20" i="26" s="1"/>
  <c r="AG11" i="19"/>
  <c r="AB13" i="26" s="1"/>
  <c r="AB18" i="26" s="1"/>
  <c r="Z57" i="31"/>
  <c r="Z64" i="31" s="1"/>
  <c r="Z32" i="26"/>
  <c r="AA29" i="26"/>
  <c r="AB31" i="26"/>
  <c r="AB34" i="26"/>
  <c r="AG31" i="6"/>
  <c r="AG30" i="6"/>
  <c r="AG7" i="6"/>
  <c r="AD7" i="26"/>
  <c r="AI6" i="19"/>
  <c r="AH6" i="6"/>
  <c r="AG31" i="19"/>
  <c r="AB16" i="26" s="1"/>
  <c r="AC8" i="26"/>
  <c r="AC24" i="26" s="1"/>
  <c r="AF26" i="6"/>
  <c r="AF12" i="6"/>
  <c r="AH7" i="19"/>
  <c r="AB37" i="31" s="1"/>
  <c r="AB59" i="31" s="1"/>
  <c r="AF19" i="6"/>
  <c r="AF13" i="6"/>
  <c r="AF20" i="6"/>
  <c r="AF25" i="6"/>
  <c r="AF14" i="6"/>
  <c r="AF24" i="6"/>
  <c r="AF18" i="6"/>
  <c r="AA37" i="26"/>
  <c r="AH10" i="19"/>
  <c r="AH30" i="19"/>
  <c r="AH15" i="19"/>
  <c r="AH29" i="19"/>
  <c r="AB36" i="31"/>
  <c r="AH21" i="19"/>
  <c r="AH22" i="19"/>
  <c r="AH9" i="19"/>
  <c r="AH16" i="19"/>
  <c r="AG17" i="19"/>
  <c r="AB14" i="26" s="1"/>
  <c r="AB19" i="26" s="1"/>
  <c r="Z68" i="31" l="1"/>
  <c r="Z65" i="31"/>
  <c r="Z70" i="31" s="1"/>
  <c r="Y70" i="31"/>
  <c r="Z67" i="31"/>
  <c r="AB45" i="31"/>
  <c r="AB46" i="31"/>
  <c r="AB69" i="31" s="1"/>
  <c r="AB37" i="26"/>
  <c r="AA56" i="31"/>
  <c r="AA62" i="31" s="1"/>
  <c r="AA63" i="31" s="1"/>
  <c r="AH23" i="19"/>
  <c r="AC15" i="26" s="1"/>
  <c r="AC20" i="26" s="1"/>
  <c r="AC34" i="26"/>
  <c r="AC31" i="26"/>
  <c r="AA57" i="31"/>
  <c r="AA64" i="31" s="1"/>
  <c r="AG13" i="6"/>
  <c r="AG25" i="6"/>
  <c r="AG18" i="6"/>
  <c r="AI7" i="19"/>
  <c r="AC37" i="31" s="1"/>
  <c r="AC59" i="31" s="1"/>
  <c r="AG14" i="6"/>
  <c r="AG26" i="6"/>
  <c r="AG20" i="6"/>
  <c r="AG12" i="6"/>
  <c r="AG24" i="6"/>
  <c r="AG19" i="6"/>
  <c r="AD8" i="26"/>
  <c r="AD24" i="26" s="1"/>
  <c r="AH31" i="19"/>
  <c r="AC16" i="26" s="1"/>
  <c r="AH7" i="6"/>
  <c r="AH30" i="6"/>
  <c r="AI6" i="6"/>
  <c r="AJ6" i="19"/>
  <c r="AE7" i="26"/>
  <c r="AH31" i="6"/>
  <c r="AA32" i="26"/>
  <c r="AB29" i="26"/>
  <c r="AH17" i="19"/>
  <c r="AC14" i="26" s="1"/>
  <c r="AC19" i="26" s="1"/>
  <c r="AH11" i="19"/>
  <c r="AC13" i="26" s="1"/>
  <c r="AC18" i="26" s="1"/>
  <c r="AI10" i="19"/>
  <c r="AI30" i="19"/>
  <c r="AI29" i="19"/>
  <c r="AI22" i="19"/>
  <c r="AC36" i="31"/>
  <c r="AI16" i="19"/>
  <c r="AI21" i="19"/>
  <c r="AI9" i="19"/>
  <c r="AI15" i="19"/>
  <c r="AA68" i="31" l="1"/>
  <c r="AA65" i="31"/>
  <c r="AA67" i="31"/>
  <c r="AC45" i="31"/>
  <c r="AC46" i="31"/>
  <c r="AC69" i="31" s="1"/>
  <c r="AB56" i="31"/>
  <c r="AB62" i="31" s="1"/>
  <c r="AB63" i="31" s="1"/>
  <c r="AI23" i="19"/>
  <c r="AD15" i="26" s="1"/>
  <c r="AD20" i="26" s="1"/>
  <c r="AI17" i="19"/>
  <c r="AD14" i="26" s="1"/>
  <c r="AD19" i="26" s="1"/>
  <c r="AI31" i="19"/>
  <c r="AD16" i="26" s="1"/>
  <c r="AB57" i="31"/>
  <c r="AB64" i="31" s="1"/>
  <c r="AE8" i="26"/>
  <c r="AE24" i="26" s="1"/>
  <c r="AH18" i="6"/>
  <c r="AH24" i="6"/>
  <c r="AJ7" i="19"/>
  <c r="AD37" i="31" s="1"/>
  <c r="AD59" i="31" s="1"/>
  <c r="AH20" i="6"/>
  <c r="AH14" i="6"/>
  <c r="AH13" i="6"/>
  <c r="AH12" i="6"/>
  <c r="AH26" i="6"/>
  <c r="AH25" i="6"/>
  <c r="AH19" i="6"/>
  <c r="AC29" i="26"/>
  <c r="AB32" i="26"/>
  <c r="AJ30" i="19"/>
  <c r="AJ10" i="19"/>
  <c r="AJ16" i="19"/>
  <c r="AD36" i="31"/>
  <c r="AJ22" i="19"/>
  <c r="AJ15" i="19"/>
  <c r="AJ9" i="19"/>
  <c r="AJ29" i="19"/>
  <c r="AJ21" i="19"/>
  <c r="AI11" i="19"/>
  <c r="AD13" i="26" s="1"/>
  <c r="AD18" i="26" s="1"/>
  <c r="AJ6" i="6"/>
  <c r="AI30" i="6"/>
  <c r="AI7" i="6"/>
  <c r="AK6" i="19"/>
  <c r="AF7" i="26"/>
  <c r="AI31" i="6"/>
  <c r="AD34" i="26"/>
  <c r="AD31" i="26"/>
  <c r="AC37" i="26"/>
  <c r="AB68" i="31" l="1"/>
  <c r="AB65" i="31"/>
  <c r="AB70" i="31" s="1"/>
  <c r="AA70" i="31"/>
  <c r="AB67" i="31"/>
  <c r="AD45" i="31"/>
  <c r="AD46" i="31"/>
  <c r="AD69" i="31" s="1"/>
  <c r="AC56" i="31"/>
  <c r="AC62" i="31" s="1"/>
  <c r="AC63" i="31" s="1"/>
  <c r="AJ31" i="19"/>
  <c r="AE16" i="26" s="1"/>
  <c r="AJ23" i="19"/>
  <c r="AE15" i="26" s="1"/>
  <c r="AE20" i="26" s="1"/>
  <c r="AD37" i="26"/>
  <c r="AE34" i="26"/>
  <c r="AE31" i="26"/>
  <c r="AJ7" i="6"/>
  <c r="AL6" i="19"/>
  <c r="AG7" i="26"/>
  <c r="AK6" i="6"/>
  <c r="AJ30" i="6"/>
  <c r="AJ31" i="6"/>
  <c r="AJ17" i="19"/>
  <c r="AE14" i="26" s="1"/>
  <c r="AE19" i="26" s="1"/>
  <c r="AD29" i="26"/>
  <c r="AC32" i="26"/>
  <c r="AC57" i="31"/>
  <c r="AC64" i="31" s="1"/>
  <c r="AC65" i="31" s="1"/>
  <c r="AF8" i="26"/>
  <c r="AF24" i="26" s="1"/>
  <c r="AI14" i="6"/>
  <c r="AI12" i="6"/>
  <c r="AI26" i="6"/>
  <c r="AI18" i="6"/>
  <c r="AI13" i="6"/>
  <c r="AI24" i="6"/>
  <c r="AI20" i="6"/>
  <c r="AK7" i="19"/>
  <c r="AE37" i="31" s="1"/>
  <c r="AE59" i="31" s="1"/>
  <c r="AI19" i="6"/>
  <c r="AI25" i="6"/>
  <c r="AK30" i="19"/>
  <c r="AK10" i="19"/>
  <c r="AK16" i="19"/>
  <c r="AK15" i="19"/>
  <c r="AK22" i="19"/>
  <c r="AE36" i="31"/>
  <c r="AK21" i="19"/>
  <c r="AK29" i="19"/>
  <c r="AK9" i="19"/>
  <c r="AJ11" i="19"/>
  <c r="AE13" i="26" s="1"/>
  <c r="AE18" i="26" s="1"/>
  <c r="AC70" i="31" l="1"/>
  <c r="AC68" i="31"/>
  <c r="AC67" i="31"/>
  <c r="AE45" i="31"/>
  <c r="AE46" i="31"/>
  <c r="AE69" i="31" s="1"/>
  <c r="AD56" i="31"/>
  <c r="AD62" i="31" s="1"/>
  <c r="AD63" i="31" s="1"/>
  <c r="AK31" i="19"/>
  <c r="AF16" i="26" s="1"/>
  <c r="AK11" i="19"/>
  <c r="AF13" i="26" s="1"/>
  <c r="AF18" i="26" s="1"/>
  <c r="AK17" i="19"/>
  <c r="AF14" i="26" s="1"/>
  <c r="AF19" i="26" s="1"/>
  <c r="AH7" i="26"/>
  <c r="AK7" i="6"/>
  <c r="AK31" i="6"/>
  <c r="AM6" i="19"/>
  <c r="AK30" i="6"/>
  <c r="AL6" i="6"/>
  <c r="AL7" i="19"/>
  <c r="AF37" i="31" s="1"/>
  <c r="AF59" i="31" s="1"/>
  <c r="AJ14" i="6"/>
  <c r="AJ19" i="6"/>
  <c r="AJ24" i="6"/>
  <c r="AJ20" i="6"/>
  <c r="AG8" i="26"/>
  <c r="AG24" i="26" s="1"/>
  <c r="AJ26" i="6"/>
  <c r="AJ18" i="6"/>
  <c r="AJ13" i="6"/>
  <c r="AJ12" i="6"/>
  <c r="AJ25" i="6"/>
  <c r="AK23" i="19"/>
  <c r="AF15" i="26" s="1"/>
  <c r="AF20" i="26" s="1"/>
  <c r="AF31" i="26"/>
  <c r="AF34" i="26"/>
  <c r="AD32" i="26"/>
  <c r="AE29" i="26"/>
  <c r="AE37" i="26"/>
  <c r="AD57" i="31"/>
  <c r="AD64" i="31" s="1"/>
  <c r="AL30" i="19"/>
  <c r="AL10" i="19"/>
  <c r="AL22" i="19"/>
  <c r="AF36" i="31"/>
  <c r="AL16" i="19"/>
  <c r="AL21" i="19"/>
  <c r="AL15" i="19"/>
  <c r="AL29" i="19"/>
  <c r="AL9" i="19"/>
  <c r="AD68" i="31" l="1"/>
  <c r="AD65" i="31"/>
  <c r="AD67" i="31"/>
  <c r="AF45" i="31"/>
  <c r="AF46" i="31"/>
  <c r="AF69" i="31" s="1"/>
  <c r="AE56" i="31"/>
  <c r="AE62" i="31" s="1"/>
  <c r="AE63" i="31" s="1"/>
  <c r="AL11" i="19"/>
  <c r="AG13" i="26" s="1"/>
  <c r="AG18" i="26" s="1"/>
  <c r="AL31" i="19"/>
  <c r="AG16" i="26" s="1"/>
  <c r="AL23" i="19"/>
  <c r="AG15" i="26" s="1"/>
  <c r="AG20" i="26" s="1"/>
  <c r="AF37" i="26"/>
  <c r="AG31" i="26"/>
  <c r="AG34" i="26"/>
  <c r="AL31" i="6"/>
  <c r="AL30" i="6"/>
  <c r="AI7" i="26"/>
  <c r="AM6" i="6"/>
  <c r="AL7" i="6"/>
  <c r="AN6" i="19"/>
  <c r="AK18" i="6"/>
  <c r="AK26" i="6"/>
  <c r="AK19" i="6"/>
  <c r="AK24" i="6"/>
  <c r="AK14" i="6"/>
  <c r="AK25" i="6"/>
  <c r="AK12" i="6"/>
  <c r="AK13" i="6"/>
  <c r="AH8" i="26"/>
  <c r="AH24" i="26" s="1"/>
  <c r="AK20" i="6"/>
  <c r="AM7" i="19"/>
  <c r="AG37" i="31" s="1"/>
  <c r="AG59" i="31" s="1"/>
  <c r="AE57" i="31"/>
  <c r="AE64" i="31" s="1"/>
  <c r="AL17" i="19"/>
  <c r="AG14" i="26" s="1"/>
  <c r="AG19" i="26" s="1"/>
  <c r="AE32" i="26"/>
  <c r="AF29" i="26"/>
  <c r="AM10" i="19"/>
  <c r="AM16" i="19"/>
  <c r="AM30" i="19"/>
  <c r="AM15" i="19"/>
  <c r="AM21" i="19"/>
  <c r="AG36" i="31"/>
  <c r="AM22" i="19"/>
  <c r="AM9" i="19"/>
  <c r="AM29" i="19"/>
  <c r="AE68" i="31" l="1"/>
  <c r="AE65" i="31"/>
  <c r="AE70" i="31"/>
  <c r="AD70" i="31"/>
  <c r="AE67" i="31"/>
  <c r="AF56" i="31"/>
  <c r="AF62" i="31" s="1"/>
  <c r="AF63" i="31" s="1"/>
  <c r="AG45" i="31"/>
  <c r="AG46" i="31"/>
  <c r="AG69" i="31" s="1"/>
  <c r="AM11" i="19"/>
  <c r="AH13" i="26" s="1"/>
  <c r="AH18" i="26" s="1"/>
  <c r="AG37" i="26"/>
  <c r="AF32" i="26"/>
  <c r="AG29" i="26"/>
  <c r="AM30" i="6"/>
  <c r="AM31" i="6"/>
  <c r="AJ7" i="26"/>
  <c r="AO6" i="19"/>
  <c r="AM7" i="6"/>
  <c r="AN6" i="6"/>
  <c r="AM23" i="19"/>
  <c r="AH15" i="26" s="1"/>
  <c r="AH20" i="26" s="1"/>
  <c r="AH34" i="26"/>
  <c r="AH31" i="26"/>
  <c r="AF57" i="31"/>
  <c r="AF64" i="31" s="1"/>
  <c r="AN7" i="19"/>
  <c r="AH37" i="31" s="1"/>
  <c r="AH59" i="31" s="1"/>
  <c r="AI8" i="26"/>
  <c r="AI24" i="26" s="1"/>
  <c r="AL20" i="6"/>
  <c r="AL19" i="6"/>
  <c r="AL25" i="6"/>
  <c r="AL13" i="6"/>
  <c r="AL12" i="6"/>
  <c r="AL14" i="6"/>
  <c r="AL24" i="6"/>
  <c r="AL18" i="6"/>
  <c r="AL26" i="6"/>
  <c r="AM31" i="19"/>
  <c r="AH16" i="26" s="1"/>
  <c r="AM17" i="19"/>
  <c r="AH14" i="26" s="1"/>
  <c r="AH19" i="26" s="1"/>
  <c r="AN10" i="19"/>
  <c r="AN30" i="19"/>
  <c r="AN22" i="19"/>
  <c r="AN29" i="19"/>
  <c r="AN16" i="19"/>
  <c r="AN15" i="19"/>
  <c r="AH36" i="31"/>
  <c r="AN21" i="19"/>
  <c r="AN9" i="19"/>
  <c r="AF68" i="31" l="1"/>
  <c r="AF65" i="31"/>
  <c r="AF70" i="31" s="1"/>
  <c r="AF67" i="31"/>
  <c r="AH45" i="31"/>
  <c r="AH46" i="31"/>
  <c r="AH69" i="31" s="1"/>
  <c r="AG56" i="31"/>
  <c r="AG62" i="31" s="1"/>
  <c r="AG63" i="31" s="1"/>
  <c r="AN31" i="19"/>
  <c r="AI16" i="26" s="1"/>
  <c r="AN23" i="19"/>
  <c r="AI15" i="26" s="1"/>
  <c r="AI20" i="26" s="1"/>
  <c r="AH37" i="26"/>
  <c r="AH29" i="26"/>
  <c r="AG32" i="26"/>
  <c r="AN17" i="19"/>
  <c r="AI14" i="26" s="1"/>
  <c r="AI19" i="26" s="1"/>
  <c r="AN11" i="19"/>
  <c r="AI13" i="26" s="1"/>
  <c r="AI18" i="26" s="1"/>
  <c r="AG57" i="31"/>
  <c r="AG64" i="31" s="1"/>
  <c r="AK7" i="26"/>
  <c r="AN30" i="6"/>
  <c r="AP6" i="19"/>
  <c r="AN7" i="6"/>
  <c r="AN31" i="6"/>
  <c r="AO6" i="6"/>
  <c r="AO30" i="19"/>
  <c r="AO10" i="19"/>
  <c r="AO29" i="19"/>
  <c r="AI36" i="31"/>
  <c r="AO22" i="19"/>
  <c r="AO15" i="19"/>
  <c r="AO9" i="19"/>
  <c r="AO16" i="19"/>
  <c r="AO21" i="19"/>
  <c r="AI31" i="26"/>
  <c r="AI34" i="26"/>
  <c r="AJ8" i="26"/>
  <c r="AJ24" i="26" s="1"/>
  <c r="AM12" i="6"/>
  <c r="AM26" i="6"/>
  <c r="AM18" i="6"/>
  <c r="AM13" i="6"/>
  <c r="AM20" i="6"/>
  <c r="AM14" i="6"/>
  <c r="AM24" i="6"/>
  <c r="AO7" i="19"/>
  <c r="AI37" i="31" s="1"/>
  <c r="AI59" i="31" s="1"/>
  <c r="AM25" i="6"/>
  <c r="AM19" i="6"/>
  <c r="AG68" i="31" l="1"/>
  <c r="AG65" i="31"/>
  <c r="AG70" i="31"/>
  <c r="AG67" i="31"/>
  <c r="AH56" i="31"/>
  <c r="AH62" i="31" s="1"/>
  <c r="AH63" i="31" s="1"/>
  <c r="AI45" i="31"/>
  <c r="AI46" i="31"/>
  <c r="AI69" i="31" s="1"/>
  <c r="AO17" i="19"/>
  <c r="AJ14" i="26" s="1"/>
  <c r="AJ19" i="26" s="1"/>
  <c r="AI37" i="26"/>
  <c r="AO23" i="19"/>
  <c r="AJ15" i="26" s="1"/>
  <c r="AJ20" i="26" s="1"/>
  <c r="AO31" i="19"/>
  <c r="AJ16" i="26" s="1"/>
  <c r="AH57" i="31"/>
  <c r="AH64" i="31" s="1"/>
  <c r="AH65" i="31" s="1"/>
  <c r="AJ31" i="26"/>
  <c r="AJ34" i="26"/>
  <c r="AP30" i="19"/>
  <c r="AP10" i="19"/>
  <c r="AP29" i="19"/>
  <c r="AP9" i="19"/>
  <c r="AP15" i="19"/>
  <c r="AP21" i="19"/>
  <c r="AP22" i="19"/>
  <c r="AP23" i="19" s="1"/>
  <c r="AK15" i="26" s="1"/>
  <c r="AK20" i="26" s="1"/>
  <c r="AJ36" i="31"/>
  <c r="AP16" i="19"/>
  <c r="AP17" i="19" s="1"/>
  <c r="AK14" i="26" s="1"/>
  <c r="AK19" i="26" s="1"/>
  <c r="AH32" i="26"/>
  <c r="AI29" i="26"/>
  <c r="AO31" i="6"/>
  <c r="AO30" i="6"/>
  <c r="AL7" i="26"/>
  <c r="AO7" i="6"/>
  <c r="AQ6" i="19"/>
  <c r="AP6" i="6"/>
  <c r="AN26" i="6"/>
  <c r="AN25" i="6"/>
  <c r="AN24" i="6"/>
  <c r="AN13" i="6"/>
  <c r="AN18" i="6"/>
  <c r="AN12" i="6"/>
  <c r="AP7" i="19"/>
  <c r="AJ37" i="31" s="1"/>
  <c r="AJ59" i="31" s="1"/>
  <c r="AN20" i="6"/>
  <c r="AN19" i="6"/>
  <c r="AN14" i="6"/>
  <c r="AK8" i="26"/>
  <c r="AK24" i="26" s="1"/>
  <c r="AO11" i="19"/>
  <c r="AJ13" i="26" s="1"/>
  <c r="AJ18" i="26" s="1"/>
  <c r="AH68" i="31" l="1"/>
  <c r="AH70" i="31"/>
  <c r="AH67" i="31"/>
  <c r="AJ45" i="31"/>
  <c r="AJ46" i="31"/>
  <c r="AJ69" i="31" s="1"/>
  <c r="AI56" i="31"/>
  <c r="AI62" i="31" s="1"/>
  <c r="AI63" i="31" s="1"/>
  <c r="AP11" i="19"/>
  <c r="AK13" i="26" s="1"/>
  <c r="AK18" i="26" s="1"/>
  <c r="AL8" i="26"/>
  <c r="AL24" i="26" s="1"/>
  <c r="AO26" i="6"/>
  <c r="AO14" i="6"/>
  <c r="AO25" i="6"/>
  <c r="AQ7" i="19"/>
  <c r="AK37" i="31" s="1"/>
  <c r="AK59" i="31" s="1"/>
  <c r="AO18" i="6"/>
  <c r="AO20" i="6"/>
  <c r="AO19" i="6"/>
  <c r="AO13" i="6"/>
  <c r="AO24" i="6"/>
  <c r="AO12" i="6"/>
  <c r="AI32" i="26"/>
  <c r="AJ29" i="26"/>
  <c r="AI57" i="31"/>
  <c r="AI64" i="31" s="1"/>
  <c r="AI65" i="31" s="1"/>
  <c r="AI70" i="31" s="1"/>
  <c r="AP31" i="6"/>
  <c r="AM7" i="26"/>
  <c r="AP30" i="6"/>
  <c r="AQ6" i="6"/>
  <c r="AP7" i="6"/>
  <c r="AR6" i="19"/>
  <c r="AP31" i="19"/>
  <c r="AK16" i="26" s="1"/>
  <c r="AK34" i="26"/>
  <c r="AK31" i="26"/>
  <c r="AQ30" i="19"/>
  <c r="AQ10" i="19"/>
  <c r="AQ21" i="19"/>
  <c r="AK36" i="31"/>
  <c r="AQ29" i="19"/>
  <c r="AQ15" i="19"/>
  <c r="AQ9" i="19"/>
  <c r="AQ22" i="19"/>
  <c r="AQ16" i="19"/>
  <c r="AJ37" i="26"/>
  <c r="AI68" i="31" l="1"/>
  <c r="AI67" i="31"/>
  <c r="AJ56" i="31"/>
  <c r="AJ62" i="31" s="1"/>
  <c r="AJ63" i="31" s="1"/>
  <c r="AK45" i="31"/>
  <c r="AK46" i="31"/>
  <c r="AK69" i="31" s="1"/>
  <c r="AQ23" i="19"/>
  <c r="AL15" i="26" s="1"/>
  <c r="AL20" i="26" s="1"/>
  <c r="AQ17" i="19"/>
  <c r="AL14" i="26" s="1"/>
  <c r="AL19" i="26" s="1"/>
  <c r="AQ31" i="19"/>
  <c r="AL16" i="26" s="1"/>
  <c r="AR10" i="19"/>
  <c r="AR30" i="19"/>
  <c r="AR15" i="19"/>
  <c r="AL36" i="31"/>
  <c r="AR22" i="19"/>
  <c r="AR21" i="19"/>
  <c r="AR29" i="19"/>
  <c r="AR16" i="19"/>
  <c r="AR9" i="19"/>
  <c r="AK37" i="26"/>
  <c r="AR7" i="19"/>
  <c r="AL37" i="31" s="1"/>
  <c r="AL59" i="31" s="1"/>
  <c r="AP18" i="6"/>
  <c r="AP13" i="6"/>
  <c r="AP20" i="6"/>
  <c r="AP26" i="6"/>
  <c r="AP24" i="6"/>
  <c r="AP25" i="6"/>
  <c r="AP12" i="6"/>
  <c r="AM8" i="26"/>
  <c r="AM24" i="26" s="1"/>
  <c r="AP14" i="6"/>
  <c r="AP19" i="6"/>
  <c r="AJ32" i="26"/>
  <c r="AK29" i="26"/>
  <c r="AQ11" i="19"/>
  <c r="AL13" i="26" s="1"/>
  <c r="AL18" i="26" s="1"/>
  <c r="AQ31" i="6"/>
  <c r="AS6" i="19"/>
  <c r="AN7" i="26"/>
  <c r="AQ30" i="6"/>
  <c r="AR6" i="6"/>
  <c r="AQ7" i="6"/>
  <c r="AJ57" i="31"/>
  <c r="AJ64" i="31" s="1"/>
  <c r="AL31" i="26"/>
  <c r="AL34" i="26"/>
  <c r="AJ68" i="31" l="1"/>
  <c r="AJ65" i="31"/>
  <c r="AJ67" i="31"/>
  <c r="AK56" i="31"/>
  <c r="AK62" i="31" s="1"/>
  <c r="AK63" i="31" s="1"/>
  <c r="AL45" i="31"/>
  <c r="AL46" i="31"/>
  <c r="AL69" i="31" s="1"/>
  <c r="AR23" i="19"/>
  <c r="AM15" i="26" s="1"/>
  <c r="AM20" i="26" s="1"/>
  <c r="AR31" i="19"/>
  <c r="AM16" i="26" s="1"/>
  <c r="AK57" i="31"/>
  <c r="AK64" i="31" s="1"/>
  <c r="AR11" i="19"/>
  <c r="AM13" i="26" s="1"/>
  <c r="AM18" i="26" s="1"/>
  <c r="AO7" i="26"/>
  <c r="AR31" i="6"/>
  <c r="AR7" i="6"/>
  <c r="AS6" i="6"/>
  <c r="AR30" i="6"/>
  <c r="AT6" i="19"/>
  <c r="AL37" i="26"/>
  <c r="AN8" i="26"/>
  <c r="AN24" i="26" s="1"/>
  <c r="AQ12" i="6"/>
  <c r="AQ25" i="6"/>
  <c r="AQ19" i="6"/>
  <c r="AQ24" i="6"/>
  <c r="AQ18" i="6"/>
  <c r="AQ14" i="6"/>
  <c r="AQ20" i="6"/>
  <c r="AQ26" i="6"/>
  <c r="AS7" i="19"/>
  <c r="AM37" i="31" s="1"/>
  <c r="AM59" i="31" s="1"/>
  <c r="AQ13" i="6"/>
  <c r="AS10" i="19"/>
  <c r="AS30" i="19"/>
  <c r="AS16" i="19"/>
  <c r="AS15" i="19"/>
  <c r="AS9" i="19"/>
  <c r="AS22" i="19"/>
  <c r="AS29" i="19"/>
  <c r="AS21" i="19"/>
  <c r="AM36" i="31"/>
  <c r="AK32" i="26"/>
  <c r="AL29" i="26"/>
  <c r="AM34" i="26"/>
  <c r="AM31" i="26"/>
  <c r="AR17" i="19"/>
  <c r="AM14" i="26" s="1"/>
  <c r="AM19" i="26" s="1"/>
  <c r="AJ70" i="31" l="1"/>
  <c r="AK68" i="31"/>
  <c r="AK65" i="31"/>
  <c r="AK67" i="31"/>
  <c r="AL56" i="31"/>
  <c r="AL62" i="31" s="1"/>
  <c r="AL63" i="31" s="1"/>
  <c r="AM45" i="31"/>
  <c r="AM46" i="31"/>
  <c r="AM69" i="31" s="1"/>
  <c r="AM37" i="26"/>
  <c r="AT7" i="19"/>
  <c r="AN37" i="31" s="1"/>
  <c r="AN59" i="31" s="1"/>
  <c r="AR26" i="6"/>
  <c r="AR13" i="6"/>
  <c r="AR12" i="6"/>
  <c r="AR24" i="6"/>
  <c r="AR25" i="6"/>
  <c r="AR19" i="6"/>
  <c r="AO8" i="26"/>
  <c r="AO24" i="26" s="1"/>
  <c r="AR14" i="6"/>
  <c r="AR20" i="6"/>
  <c r="AR18" i="6"/>
  <c r="AL32" i="26"/>
  <c r="AM29" i="26"/>
  <c r="AS17" i="19"/>
  <c r="AN14" i="26" s="1"/>
  <c r="AN19" i="26" s="1"/>
  <c r="AT30" i="19"/>
  <c r="AT10" i="19"/>
  <c r="AT16" i="19"/>
  <c r="AT15" i="19"/>
  <c r="AT22" i="19"/>
  <c r="AN36" i="31"/>
  <c r="AT21" i="19"/>
  <c r="AT29" i="19"/>
  <c r="AT9" i="19"/>
  <c r="AL57" i="31"/>
  <c r="AL64" i="31" s="1"/>
  <c r="AL65" i="31" s="1"/>
  <c r="AS23" i="19"/>
  <c r="AN15" i="26" s="1"/>
  <c r="AN20" i="26" s="1"/>
  <c r="AS31" i="19"/>
  <c r="AN16" i="26" s="1"/>
  <c r="AS11" i="19"/>
  <c r="AN13" i="26" s="1"/>
  <c r="AN18" i="26" s="1"/>
  <c r="AN34" i="26"/>
  <c r="AN31" i="26"/>
  <c r="AU6" i="19"/>
  <c r="AS31" i="6"/>
  <c r="AT6" i="6"/>
  <c r="AP7" i="26"/>
  <c r="AS7" i="6"/>
  <c r="AS30" i="6"/>
  <c r="AL70" i="31" l="1"/>
  <c r="AL68" i="31"/>
  <c r="AK70" i="31"/>
  <c r="AL67" i="31"/>
  <c r="AN45" i="31"/>
  <c r="AN46" i="31"/>
  <c r="AN69" i="31" s="1"/>
  <c r="AM56" i="31"/>
  <c r="AM62" i="31" s="1"/>
  <c r="AM63" i="31" s="1"/>
  <c r="AT23" i="19"/>
  <c r="AO15" i="26" s="1"/>
  <c r="AO20" i="26" s="1"/>
  <c r="AT31" i="19"/>
  <c r="AO16" i="26" s="1"/>
  <c r="AN37" i="26"/>
  <c r="AT17" i="19"/>
  <c r="AO14" i="26" s="1"/>
  <c r="AO19" i="26" s="1"/>
  <c r="AM32" i="26"/>
  <c r="AN29" i="26"/>
  <c r="AQ7" i="26"/>
  <c r="AU6" i="6"/>
  <c r="AT31" i="6"/>
  <c r="AT30" i="6"/>
  <c r="AT7" i="6"/>
  <c r="AV6" i="19"/>
  <c r="AP8" i="26"/>
  <c r="AP24" i="26" s="1"/>
  <c r="AU7" i="19"/>
  <c r="AO37" i="31" s="1"/>
  <c r="AO59" i="31" s="1"/>
  <c r="AS24" i="6"/>
  <c r="AS18" i="6"/>
  <c r="AS12" i="6"/>
  <c r="AS20" i="6"/>
  <c r="AS19" i="6"/>
  <c r="AS14" i="6"/>
  <c r="AS25" i="6"/>
  <c r="AS26" i="6"/>
  <c r="AS13" i="6"/>
  <c r="AU30" i="19"/>
  <c r="AU21" i="19"/>
  <c r="AO36" i="31"/>
  <c r="AU10" i="19"/>
  <c r="AU29" i="19"/>
  <c r="AU15" i="19"/>
  <c r="AU22" i="19"/>
  <c r="AU16" i="19"/>
  <c r="AU9" i="19"/>
  <c r="AM57" i="31"/>
  <c r="AM64" i="31" s="1"/>
  <c r="AT11" i="19"/>
  <c r="AO13" i="26" s="1"/>
  <c r="AO18" i="26" s="1"/>
  <c r="AO34" i="26"/>
  <c r="AO31" i="26"/>
  <c r="AM68" i="31" l="1"/>
  <c r="AM65" i="31"/>
  <c r="AM67" i="31"/>
  <c r="AU17" i="19"/>
  <c r="AP14" i="26" s="1"/>
  <c r="AP19" i="26" s="1"/>
  <c r="AO45" i="31"/>
  <c r="AO46" i="31"/>
  <c r="AO69" i="31" s="1"/>
  <c r="AN56" i="31"/>
  <c r="AN62" i="31" s="1"/>
  <c r="AN63" i="31" s="1"/>
  <c r="AU23" i="19"/>
  <c r="AP15" i="26" s="1"/>
  <c r="AP20" i="26" s="1"/>
  <c r="AU11" i="19"/>
  <c r="AP13" i="26" s="1"/>
  <c r="AP18" i="26" s="1"/>
  <c r="AN57" i="31"/>
  <c r="AN64" i="31" s="1"/>
  <c r="AT20" i="6"/>
  <c r="AT18" i="6"/>
  <c r="AV7" i="19"/>
  <c r="AP37" i="31" s="1"/>
  <c r="AP59" i="31" s="1"/>
  <c r="AT12" i="6"/>
  <c r="AT24" i="6"/>
  <c r="AT19" i="6"/>
  <c r="AT14" i="6"/>
  <c r="AT25" i="6"/>
  <c r="AT13" i="6"/>
  <c r="AT26" i="6"/>
  <c r="AQ8" i="26"/>
  <c r="AQ24" i="26" s="1"/>
  <c r="AN32" i="26"/>
  <c r="AO29" i="26"/>
  <c r="AO37" i="26"/>
  <c r="AU31" i="19"/>
  <c r="AP16" i="26" s="1"/>
  <c r="AP34" i="26"/>
  <c r="AP31" i="26"/>
  <c r="AV30" i="19"/>
  <c r="AV15" i="19"/>
  <c r="AV16" i="19"/>
  <c r="AV22" i="19"/>
  <c r="AV21" i="19"/>
  <c r="AV9" i="19"/>
  <c r="AP36" i="31"/>
  <c r="AV10" i="19"/>
  <c r="AV29" i="19"/>
  <c r="AW6" i="19"/>
  <c r="AR7" i="26"/>
  <c r="AU7" i="6"/>
  <c r="AU31" i="6"/>
  <c r="AU30" i="6"/>
  <c r="AN68" i="31" l="1"/>
  <c r="AN65" i="31"/>
  <c r="AN70" i="31" s="1"/>
  <c r="AM70" i="31"/>
  <c r="AN67" i="31"/>
  <c r="AO56" i="31"/>
  <c r="AO62" i="31" s="1"/>
  <c r="AO63" i="31" s="1"/>
  <c r="AP45" i="31"/>
  <c r="AP46" i="31"/>
  <c r="AP69" i="31" s="1"/>
  <c r="AV31" i="19"/>
  <c r="AQ16" i="26" s="1"/>
  <c r="AP37" i="26"/>
  <c r="AV11" i="19"/>
  <c r="AQ13" i="26" s="1"/>
  <c r="AQ18" i="26" s="1"/>
  <c r="AV23" i="19"/>
  <c r="AQ15" i="26" s="1"/>
  <c r="AQ20" i="26" s="1"/>
  <c r="AQ31" i="26"/>
  <c r="AQ34" i="26"/>
  <c r="AO57" i="31"/>
  <c r="AO64" i="31" s="1"/>
  <c r="AW10" i="19"/>
  <c r="AW9" i="19"/>
  <c r="AW21" i="19"/>
  <c r="AQ36" i="31"/>
  <c r="AW15" i="19"/>
  <c r="AW30" i="19"/>
  <c r="AW16" i="19"/>
  <c r="AW22" i="19"/>
  <c r="AW29" i="19"/>
  <c r="AO32" i="26"/>
  <c r="AP29" i="26"/>
  <c r="AU18" i="6"/>
  <c r="AU12" i="6"/>
  <c r="AW7" i="19"/>
  <c r="AQ37" i="31" s="1"/>
  <c r="AQ59" i="31" s="1"/>
  <c r="AU20" i="6"/>
  <c r="AU24" i="6"/>
  <c r="AU25" i="6"/>
  <c r="AU26" i="6"/>
  <c r="AR8" i="26"/>
  <c r="AR24" i="26" s="1"/>
  <c r="AU13" i="6"/>
  <c r="AU19" i="6"/>
  <c r="AU14" i="6"/>
  <c r="AV17" i="19"/>
  <c r="AQ14" i="26" s="1"/>
  <c r="AQ19" i="26" s="1"/>
  <c r="AO68" i="31" l="1"/>
  <c r="AO65" i="31"/>
  <c r="AO67" i="31"/>
  <c r="AP56" i="31"/>
  <c r="AP62" i="31" s="1"/>
  <c r="AP63" i="31" s="1"/>
  <c r="AQ45" i="31"/>
  <c r="AQ46" i="31"/>
  <c r="AQ69" i="31" s="1"/>
  <c r="AW31" i="19"/>
  <c r="E32" i="19" s="1"/>
  <c r="AW17" i="19"/>
  <c r="E18" i="19" s="1"/>
  <c r="AQ37" i="26"/>
  <c r="AP32" i="26"/>
  <c r="AQ29" i="26"/>
  <c r="AW11" i="19"/>
  <c r="AR31" i="26"/>
  <c r="AR34" i="26"/>
  <c r="AW23" i="19"/>
  <c r="AP57" i="31"/>
  <c r="AP64" i="31" s="1"/>
  <c r="AP68" i="31" l="1"/>
  <c r="AP65" i="31"/>
  <c r="AP70" i="31" s="1"/>
  <c r="AO70" i="31"/>
  <c r="AP67" i="31"/>
  <c r="AQ56" i="31"/>
  <c r="AQ62" i="31" s="1"/>
  <c r="AQ63" i="31" s="1"/>
  <c r="AQ67" i="31" s="1"/>
  <c r="AQ57" i="31"/>
  <c r="AQ64" i="31" s="1"/>
  <c r="AQ65" i="31" s="1"/>
  <c r="AR16" i="26"/>
  <c r="AR14" i="26"/>
  <c r="AR19" i="26" s="1"/>
  <c r="AR13" i="26"/>
  <c r="AR18" i="26" s="1"/>
  <c r="E12" i="19"/>
  <c r="D196" i="20"/>
  <c r="F196" i="20" s="1"/>
  <c r="H196" i="20" s="1"/>
  <c r="D195" i="20"/>
  <c r="D194" i="20"/>
  <c r="F194" i="20" s="1"/>
  <c r="H194" i="20" s="1"/>
  <c r="D193" i="20"/>
  <c r="D197" i="20"/>
  <c r="AR15" i="26"/>
  <c r="AR20" i="26" s="1"/>
  <c r="E24" i="19"/>
  <c r="AQ32" i="26"/>
  <c r="AR29" i="26"/>
  <c r="AR32" i="26" s="1"/>
  <c r="AR37" i="26"/>
  <c r="E39" i="26" s="1"/>
  <c r="B67" i="31" l="1"/>
  <c r="AQ68" i="31"/>
  <c r="AQ70" i="31"/>
  <c r="B70" i="31" s="1"/>
  <c r="F197" i="20"/>
  <c r="H197" i="20" s="1"/>
  <c r="F33" i="23"/>
  <c r="F193" i="20"/>
  <c r="H193" i="20" s="1"/>
  <c r="F23" i="23"/>
  <c r="F195" i="20"/>
  <c r="H195" i="20" s="1"/>
  <c r="F25" i="23"/>
  <c r="F44" i="23" l="1"/>
  <c r="R28" i="13" s="1"/>
  <c r="H198" i="20"/>
  <c r="C46" i="23" l="1"/>
  <c r="C69" i="23" s="1"/>
  <c r="F22" i="26"/>
  <c r="F41" i="26" s="1"/>
  <c r="E22" i="26"/>
  <c r="E41" i="26" s="1"/>
  <c r="G22" i="26"/>
  <c r="G41" i="26" s="1"/>
  <c r="H22" i="26"/>
  <c r="H41" i="26" s="1"/>
  <c r="J22" i="26"/>
  <c r="J41" i="26" s="1"/>
  <c r="I22" i="26"/>
  <c r="I41" i="26" s="1"/>
  <c r="L22" i="26"/>
  <c r="L41" i="26" s="1"/>
  <c r="K22" i="26"/>
  <c r="K41" i="26" s="1"/>
  <c r="M22" i="26"/>
  <c r="M41" i="26" s="1"/>
  <c r="N22" i="26"/>
  <c r="N41" i="26" s="1"/>
  <c r="O22" i="26"/>
  <c r="O41" i="26" s="1"/>
  <c r="Q22" i="26"/>
  <c r="Q41" i="26" s="1"/>
  <c r="P22" i="26"/>
  <c r="P41" i="26" s="1"/>
  <c r="R22" i="26"/>
  <c r="R41" i="26" s="1"/>
  <c r="S22" i="26"/>
  <c r="S41" i="26" s="1"/>
  <c r="U22" i="26"/>
  <c r="U41" i="26" s="1"/>
  <c r="T22" i="26"/>
  <c r="T41" i="26" s="1"/>
  <c r="V22" i="26"/>
  <c r="V41" i="26" s="1"/>
  <c r="W22" i="26"/>
  <c r="W41" i="26" s="1"/>
  <c r="X22" i="26"/>
  <c r="X41" i="26" s="1"/>
  <c r="Y22" i="26"/>
  <c r="Y41" i="26" s="1"/>
  <c r="Z22" i="26"/>
  <c r="Z41" i="26" s="1"/>
  <c r="AA22" i="26"/>
  <c r="AA41" i="26" s="1"/>
  <c r="AB22" i="26"/>
  <c r="AB41" i="26" s="1"/>
  <c r="AD22" i="26"/>
  <c r="AD41" i="26" s="1"/>
  <c r="AC22" i="26"/>
  <c r="AC41" i="26" s="1"/>
  <c r="AE22" i="26"/>
  <c r="AE41" i="26" s="1"/>
  <c r="AF22" i="26"/>
  <c r="AF41" i="26" s="1"/>
  <c r="AG22" i="26"/>
  <c r="AG41" i="26" s="1"/>
  <c r="AI22" i="26"/>
  <c r="AI41" i="26" s="1"/>
  <c r="AH22" i="26"/>
  <c r="AH41" i="26" s="1"/>
  <c r="AJ22" i="26"/>
  <c r="AJ41" i="26" s="1"/>
  <c r="AL22" i="26"/>
  <c r="AL41" i="26" s="1"/>
  <c r="AK22" i="26"/>
  <c r="AK41" i="26" s="1"/>
  <c r="AM22" i="26"/>
  <c r="AM41" i="26" s="1"/>
  <c r="AO22" i="26"/>
  <c r="AO41" i="26" s="1"/>
  <c r="AN22" i="26"/>
  <c r="AN41" i="26" s="1"/>
  <c r="AQ22" i="26"/>
  <c r="AQ41" i="26" s="1"/>
  <c r="AP22" i="26"/>
  <c r="AP41" i="26" s="1"/>
  <c r="AR22" i="26"/>
  <c r="AR41" i="26" s="1"/>
  <c r="R39" i="13"/>
  <c r="R38" i="13"/>
  <c r="R32" i="13"/>
  <c r="R35" i="13"/>
  <c r="R41" i="13"/>
  <c r="R37" i="13"/>
  <c r="R31" i="13"/>
  <c r="R34" i="13"/>
  <c r="R36" i="13"/>
  <c r="R40" i="13"/>
  <c r="R30" i="13"/>
  <c r="R33" i="13"/>
  <c r="R29" i="13"/>
  <c r="B15" i="13" l="1"/>
  <c r="E38" i="13" s="1"/>
  <c r="W38" i="13" s="1"/>
  <c r="C79" i="23"/>
  <c r="C77" i="23"/>
  <c r="C73" i="23"/>
  <c r="C75" i="23"/>
  <c r="C71" i="23"/>
  <c r="T39" i="13"/>
  <c r="Z39" i="13" s="1"/>
  <c r="T40" i="13" l="1"/>
  <c r="Z40" i="13" s="1"/>
  <c r="J36" i="13"/>
  <c r="X36" i="13" s="1"/>
  <c r="E31" i="13"/>
  <c r="W31" i="13" s="1"/>
  <c r="O37" i="13"/>
  <c r="Y37" i="13" s="1"/>
  <c r="O40" i="13"/>
  <c r="Y40" i="13" s="1"/>
  <c r="T38" i="13"/>
  <c r="Z38" i="13" s="1"/>
  <c r="E29" i="13"/>
  <c r="W29" i="13" s="1"/>
  <c r="J39" i="13"/>
  <c r="X39" i="13" s="1"/>
  <c r="J32" i="13"/>
  <c r="X32" i="13" s="1"/>
  <c r="E30" i="13"/>
  <c r="W30" i="13" s="1"/>
  <c r="J40" i="13"/>
  <c r="X40" i="13" s="1"/>
  <c r="E36" i="13"/>
  <c r="W36" i="13" s="1"/>
  <c r="O39" i="13"/>
  <c r="Y39" i="13" s="1"/>
  <c r="J30" i="13"/>
  <c r="X30" i="13" s="1"/>
  <c r="O32" i="13"/>
  <c r="Y32" i="13" s="1"/>
  <c r="O41" i="13"/>
  <c r="Y41" i="13" s="1"/>
  <c r="T37" i="13"/>
  <c r="Z37" i="13" s="1"/>
  <c r="J35" i="13"/>
  <c r="X35" i="13" s="1"/>
  <c r="O31" i="13"/>
  <c r="Y31" i="13" s="1"/>
  <c r="T41" i="13"/>
  <c r="Z41" i="13" s="1"/>
  <c r="E32" i="13"/>
  <c r="W32" i="13" s="1"/>
  <c r="J34" i="13"/>
  <c r="X34" i="13" s="1"/>
  <c r="J37" i="13"/>
  <c r="X37" i="13" s="1"/>
  <c r="O33" i="13"/>
  <c r="Y33" i="13" s="1"/>
  <c r="O36" i="13"/>
  <c r="Y36" i="13" s="1"/>
  <c r="T36" i="13"/>
  <c r="Z36" i="13" s="1"/>
  <c r="T33" i="13"/>
  <c r="Z33" i="13" s="1"/>
  <c r="E39" i="13"/>
  <c r="W39" i="13" s="1"/>
  <c r="T34" i="13"/>
  <c r="Z34" i="13" s="1"/>
  <c r="T30" i="13"/>
  <c r="Z30" i="13" s="1"/>
  <c r="J38" i="13"/>
  <c r="X38" i="13" s="1"/>
  <c r="E40" i="13"/>
  <c r="W40" i="13" s="1"/>
  <c r="J33" i="13"/>
  <c r="X33" i="13" s="1"/>
  <c r="J41" i="13"/>
  <c r="X41" i="13" s="1"/>
  <c r="T32" i="13"/>
  <c r="Z32" i="13" s="1"/>
  <c r="E37" i="13"/>
  <c r="W37" i="13" s="1"/>
  <c r="J29" i="13"/>
  <c r="X29" i="13" s="1"/>
  <c r="O30" i="13"/>
  <c r="Y30" i="13" s="1"/>
  <c r="O34" i="13"/>
  <c r="Y34" i="13" s="1"/>
  <c r="O38" i="13"/>
  <c r="Y38" i="13" s="1"/>
  <c r="E35" i="13"/>
  <c r="W35" i="13" s="1"/>
  <c r="O29" i="13"/>
  <c r="Y29" i="13" s="1"/>
  <c r="T29" i="13"/>
  <c r="Z29" i="13" s="1"/>
  <c r="E41" i="13"/>
  <c r="W41" i="13" s="1"/>
  <c r="E33" i="13"/>
  <c r="W33" i="13" s="1"/>
  <c r="O35" i="13"/>
  <c r="Y35" i="13" s="1"/>
  <c r="J31" i="13"/>
  <c r="X31" i="13" s="1"/>
  <c r="E34" i="13"/>
  <c r="W34" i="13" s="1"/>
  <c r="T31" i="13"/>
  <c r="Z31" i="13" s="1"/>
  <c r="T35" i="13"/>
  <c r="Z35" i="13" s="1"/>
</calcChain>
</file>

<file path=xl/sharedStrings.xml><?xml version="1.0" encoding="utf-8"?>
<sst xmlns="http://schemas.openxmlformats.org/spreadsheetml/2006/main" count="1584" uniqueCount="603">
  <si>
    <t>Green City Kigali Funding Proposal - Financial Model Annex 3</t>
  </si>
  <si>
    <t>Project Name:</t>
  </si>
  <si>
    <t>Project Number:</t>
  </si>
  <si>
    <t>Client:</t>
  </si>
  <si>
    <t>Date:</t>
  </si>
  <si>
    <t>Version</t>
  </si>
  <si>
    <t>Green Kigali - Green Climate Fund Application</t>
  </si>
  <si>
    <t>10600209-003</t>
  </si>
  <si>
    <t>Green Climate Fund</t>
  </si>
  <si>
    <t>Disclaimer</t>
  </si>
  <si>
    <t>This model is the property of Sweco UK Ltd. A license to use this model has been granted for the purpose of the Green Climate Fund Funding Proposal for the Green City Kigali project accredited to the Ministry of Environment in Rwanda. Such license is perpetual, royalty-free, non-exclusive and non-transferable.</t>
  </si>
  <si>
    <t>The model has been developed for Green Climate Fund and the use of the model and any results generated by it are the sole responsibility of each user. Any information and results derived from the use of this model are subject to the accuracy of data inputs supplied during the modelling process. This model has not been subject to any external independent audit. All results should be checked and challenged before any reliance, publication or use.
The provision of this financial model or any advice in connection with it is indicative only and does not constitute financial advice or recommendation regarding any financial product.
While the model has been prepared in good faith, no representation, warranty, assurance or undertaking (express or implied) is or will be made, and no responsibility or liability is or will be accepted by Sweco UK Limited or any of its subsidiaries or by any of their respective officers, employees or agents in relation to the adequacy, accuracy, completeness or reasonableness of the model or of any information or results derived from it. All and any such responsibility and liability (including in the case of negligence) is expressly disclaimed excluded to the fullest extent permitted by law.
All trademarks, service marks and logos in the model relating to Sweco UK ltd and copyright in the model are the property of Sweco UK Ltd. Nothing in the model shall be construed as granting any licence or right to use or reproduce any of such trademarks, services marks, logos, copyright or any proprietary information in any way without Sweco UK Limited’s prior written permission. 
Any use of this model indicates acceptance by the user of the terms set out in this disclaimer.</t>
  </si>
  <si>
    <t>Log</t>
  </si>
  <si>
    <t>Date</t>
  </si>
  <si>
    <t>Modeller</t>
  </si>
  <si>
    <t>Change made</t>
  </si>
  <si>
    <t>Matthew May</t>
  </si>
  <si>
    <t>Model handed over to Tanja for review</t>
  </si>
  <si>
    <t>Tanja Groth</t>
  </si>
  <si>
    <t>Changes following review</t>
  </si>
  <si>
    <t>Updated Annex 4, changed replacements to be total not annual</t>
  </si>
  <si>
    <t>Draft version</t>
  </si>
  <si>
    <t>v7 updated with amendments to replacement cost estimation</t>
  </si>
  <si>
    <t>Updated background data and further mitigations/interventions</t>
  </si>
  <si>
    <t>Updated following review</t>
  </si>
  <si>
    <t>Updated following QA</t>
  </si>
  <si>
    <t>Updated following QA and additonal info</t>
  </si>
  <si>
    <t>For external review</t>
  </si>
  <si>
    <t>Incorporated updated budget</t>
  </si>
  <si>
    <t>Map</t>
  </si>
  <si>
    <t>Colour coding</t>
  </si>
  <si>
    <t>Active input cell</t>
  </si>
  <si>
    <t>Cell used for formula (no values)</t>
  </si>
  <si>
    <t>Calculation cell</t>
  </si>
  <si>
    <t>Comment cell - free text</t>
  </si>
  <si>
    <t>Output cell</t>
  </si>
  <si>
    <t>Constant - linked from input cell</t>
  </si>
  <si>
    <t>Model Structure</t>
  </si>
  <si>
    <t>Dashboard</t>
  </si>
  <si>
    <t>Key Inputs</t>
  </si>
  <si>
    <t>Constants</t>
  </si>
  <si>
    <t>Source</t>
  </si>
  <si>
    <t>Project lifetime</t>
  </si>
  <si>
    <t>(years)</t>
  </si>
  <si>
    <t>Scoping document</t>
  </si>
  <si>
    <t>Economic base year</t>
  </si>
  <si>
    <t>Sensitivity range (±)</t>
  </si>
  <si>
    <t>Number of properties in Ngaruyinka Village</t>
  </si>
  <si>
    <t>BoQ (D51)</t>
  </si>
  <si>
    <t>Population initial</t>
  </si>
  <si>
    <t>The population of the village is 1634 (Source - section 5.2.2 of Feasibility study)</t>
  </si>
  <si>
    <t>Pilot properties</t>
  </si>
  <si>
    <t>Annex 4 for PV solar and Solar water heaters</t>
  </si>
  <si>
    <t>Pilot property population</t>
  </si>
  <si>
    <t>Assumed as 4.6 x number of properties</t>
  </si>
  <si>
    <t>Population including pilot properties</t>
  </si>
  <si>
    <t>Assumed as 4.6 x number of properties (including pilot)</t>
  </si>
  <si>
    <t>Assumed household size</t>
  </si>
  <si>
    <t>(nr)</t>
  </si>
  <si>
    <t>Taken from GCK High level ESIA.  (3.3.2)</t>
  </si>
  <si>
    <t>Remove</t>
  </si>
  <si>
    <t>Popultation increase (short term)</t>
  </si>
  <si>
    <t>http://www.statistics.gov.rw/publication/rphc4-population-projections, 30% increase by 2032.  Data sugesting medium change of 5.6% per year in 2021 (urban). Accessed 8 Oct 2021</t>
  </si>
  <si>
    <t>Population increase duration (short term)</t>
  </si>
  <si>
    <t>Population increase (long term)</t>
  </si>
  <si>
    <t>http://www.statistics.gov.rw/publication/rphc4-population-projections. Population change in 2032 (urban).  Accessed 8 Oct 2021</t>
  </si>
  <si>
    <t>Exchange rate RWF to USD</t>
  </si>
  <si>
    <t xml:space="preserve">Average value (15 October 2021): https://www.bnr.rw/currency/exchange-rate/?tx_bnrcurrencymanager_master%5Baction%5D=list&amp;tx_bnrcurrencymanager_master%5Bcontroller%5D=Currency&amp;cHash=4fb7571d4be4cafcb4dc2859ca4996ea </t>
  </si>
  <si>
    <t>VAT</t>
  </si>
  <si>
    <t>VAT rate</t>
  </si>
  <si>
    <t>https://taxsummaries.pwc.com/rwanda/corporate/other-taxes#:~:text=The%20standard%20VAT%20rate%20is,subject%20to%20VAT%20at%200%25.</t>
  </si>
  <si>
    <t>International VAT rate</t>
  </si>
  <si>
    <t>From Annex 4</t>
  </si>
  <si>
    <t>Land area of pilot scheme</t>
  </si>
  <si>
    <t>(ha)</t>
  </si>
  <si>
    <t>Estimated area</t>
  </si>
  <si>
    <t>Assumptions</t>
  </si>
  <si>
    <t>Calendar year</t>
  </si>
  <si>
    <t>Project Year</t>
  </si>
  <si>
    <t>RPI projections - Electricity</t>
  </si>
  <si>
    <t>Discount rates and inflation</t>
  </si>
  <si>
    <t>Inflation projection</t>
  </si>
  <si>
    <t>per annum</t>
  </si>
  <si>
    <t>To be updated once known</t>
  </si>
  <si>
    <t>Discount rate projection</t>
  </si>
  <si>
    <t>Real discount rate projection</t>
  </si>
  <si>
    <t>RPI projections - Gas</t>
  </si>
  <si>
    <t>RPI projections - Charcoal</t>
  </si>
  <si>
    <t>Cost of Carbon</t>
  </si>
  <si>
    <t>Carbon cost base year</t>
  </si>
  <si>
    <t>Carbon cost (low) in 2020</t>
  </si>
  <si>
    <t>per tonne</t>
  </si>
  <si>
    <t>(USD)</t>
  </si>
  <si>
    <t>Taken from https://documents1.worldbank.org/curated/en/621721519940107694/pdf/2017-Shadow-Price-of-Carbon-Guidance-Note.pdf</t>
  </si>
  <si>
    <t>Carbon cost (high) in 2020</t>
  </si>
  <si>
    <t>Increase in cost</t>
  </si>
  <si>
    <t>Population</t>
  </si>
  <si>
    <t>Remove?</t>
  </si>
  <si>
    <t>Energy Costs</t>
  </si>
  <si>
    <t>Electricity Tariffs (RURA 2020)</t>
  </si>
  <si>
    <t>Table 18 FS</t>
  </si>
  <si>
    <t>Residential</t>
  </si>
  <si>
    <t>0-15 kWh/month</t>
  </si>
  <si>
    <t>FRW/kWh</t>
  </si>
  <si>
    <t>VAT exclusive</t>
  </si>
  <si>
    <t>&gt;15-50 kWh/month</t>
  </si>
  <si>
    <t>&gt;50 kWh/month</t>
  </si>
  <si>
    <t>Non-residential</t>
  </si>
  <si>
    <t>&gt;100 kWh/month</t>
  </si>
  <si>
    <t>Solar street lights</t>
  </si>
  <si>
    <t>Replacement solar battery</t>
  </si>
  <si>
    <t>($)</t>
  </si>
  <si>
    <t>https://www.dragonsbreathsolar.co.uk/product/street-light-lithium-battery/</t>
  </si>
  <si>
    <t>Timeline</t>
  </si>
  <si>
    <t>Development phase</t>
  </si>
  <si>
    <t>Input</t>
  </si>
  <si>
    <t>Comment</t>
  </si>
  <si>
    <t>Development phase start year</t>
  </si>
  <si>
    <t>Development phase end year</t>
  </si>
  <si>
    <t>Development phase flag</t>
  </si>
  <si>
    <t>Development phase duration</t>
  </si>
  <si>
    <t>Construction phase</t>
  </si>
  <si>
    <t>Construction phase start year</t>
  </si>
  <si>
    <t>Construction phase end year</t>
  </si>
  <si>
    <t>Construction phase flag</t>
  </si>
  <si>
    <t>Construction phase duration</t>
  </si>
  <si>
    <t>Operation phase</t>
  </si>
  <si>
    <t>Operation phase start year</t>
  </si>
  <si>
    <t>Operation phase end year</t>
  </si>
  <si>
    <t>Start date + duration</t>
  </si>
  <si>
    <t>Operation phase flag</t>
  </si>
  <si>
    <t>Operation phase duration</t>
  </si>
  <si>
    <t>Replacement phase</t>
  </si>
  <si>
    <t>Replacement phase start year</t>
  </si>
  <si>
    <t>Replacement phase end year</t>
  </si>
  <si>
    <t>Replacement phase flag</t>
  </si>
  <si>
    <t>Replacement phase duration</t>
  </si>
  <si>
    <t>Phase lifetime</t>
  </si>
  <si>
    <t>Financing</t>
  </si>
  <si>
    <t>Construction cost phasing</t>
  </si>
  <si>
    <t>Phase name</t>
  </si>
  <si>
    <t>Investment year</t>
  </si>
  <si>
    <t>End of investment</t>
  </si>
  <si>
    <t>Operational phase</t>
  </si>
  <si>
    <t>Gearing</t>
  </si>
  <si>
    <t>Grant</t>
  </si>
  <si>
    <t>Debt</t>
  </si>
  <si>
    <t>Units</t>
  </si>
  <si>
    <t>Loan value</t>
  </si>
  <si>
    <t>USD</t>
  </si>
  <si>
    <t>Loan lifetime</t>
  </si>
  <si>
    <t>Years</t>
  </si>
  <si>
    <t>Years after loan for first repayment</t>
  </si>
  <si>
    <t>Interest rate (real)</t>
  </si>
  <si>
    <t>%</t>
  </si>
  <si>
    <t>Annex 4 - imported from project drive</t>
  </si>
  <si>
    <t>Latest import</t>
  </si>
  <si>
    <t>Financing Source</t>
  </si>
  <si>
    <t xml:space="preserve">Budget Account Description </t>
  </si>
  <si>
    <t>Summed by Description</t>
  </si>
  <si>
    <t>GCF</t>
  </si>
  <si>
    <t xml:space="preserve">Staff Cost </t>
  </si>
  <si>
    <t>Country</t>
  </si>
  <si>
    <t>Local consultants</t>
  </si>
  <si>
    <t>Accredited Entity</t>
  </si>
  <si>
    <t>International consultant</t>
  </si>
  <si>
    <t>Equipment</t>
  </si>
  <si>
    <t xml:space="preserve">Constuction cost </t>
  </si>
  <si>
    <t>Training, workshops, and conference</t>
  </si>
  <si>
    <t>Travel</t>
  </si>
  <si>
    <t xml:space="preserve">Professional/ Contractual Services </t>
  </si>
  <si>
    <t>Annex 4 Detailed budget plan</t>
  </si>
  <si>
    <t>Component</t>
  </si>
  <si>
    <t>Output</t>
  </si>
  <si>
    <t>Activity</t>
  </si>
  <si>
    <t>Notes and Assumptions*</t>
  </si>
  <si>
    <t>Unit</t>
  </si>
  <si>
    <t>Cost per Unit (USD)</t>
  </si>
  <si>
    <t>Units Year 1 (USD)</t>
  </si>
  <si>
    <t>Units Year 2 (USD)</t>
  </si>
  <si>
    <t>Units Year 3 (USD)</t>
  </si>
  <si>
    <t>Units Year 4 (USD)</t>
  </si>
  <si>
    <t>Units Year 5 (USD)</t>
  </si>
  <si>
    <t>Amount Year 1 (USD)</t>
  </si>
  <si>
    <t>Amount Year 2 (USD)</t>
  </si>
  <si>
    <t>Amount Year 3 (USD)</t>
  </si>
  <si>
    <t>Amount Year 4 (USD)</t>
  </si>
  <si>
    <t>Amount Year 5 (USD)</t>
  </si>
  <si>
    <t>Total (USD)</t>
  </si>
  <si>
    <t>checked</t>
  </si>
  <si>
    <t xml:space="preserve">Component 1 Climate responsive investments to upgrade an informal settlement </t>
  </si>
  <si>
    <t>Output 1.1 Public infrastructure is upgraded to increase resilience to flooding, landslides and prolonged dry spells and household energy and water use is efficient.</t>
  </si>
  <si>
    <t>Activity 1.1.1 Transport and mobility</t>
  </si>
  <si>
    <t>Component lead to oversee all transport and mobility work (national expert)</t>
  </si>
  <si>
    <t>person-day</t>
  </si>
  <si>
    <t>x</t>
  </si>
  <si>
    <t>Local transport in Kigali. Rental of car</t>
  </si>
  <si>
    <t>daily car rental</t>
  </si>
  <si>
    <t>Transport engineer (international expert)</t>
  </si>
  <si>
    <t>International flight to Kigali</t>
  </si>
  <si>
    <t>roundtrip flight</t>
  </si>
  <si>
    <t>Per diem in Kigali (including lodging)</t>
  </si>
  <si>
    <t>days</t>
  </si>
  <si>
    <t>updated</t>
  </si>
  <si>
    <t>Detailed design and construction supervision of road works. Cost estimated based on industry standard percentage of estimated construction cost (6%)</t>
  </si>
  <si>
    <t>total</t>
  </si>
  <si>
    <t xml:space="preserve">Wearing course &amp; curbs: Volcanic setts with permeable open pointing, Linear take-off from plan  x  ROW section, 50mm thick </t>
  </si>
  <si>
    <t>m2</t>
  </si>
  <si>
    <t>Wearing course &amp; curbs: Volcanic setts with non-permable pointing, Linear take-off from plan  x  ROW section</t>
  </si>
  <si>
    <t>Wearing course &amp; curbs: Asphalt cyclepath, Linear take-off from plan  x  ROW section, Assumed single surface layer 10mm thick.</t>
  </si>
  <si>
    <t xml:space="preserve">Wearing course &amp; curbs: High quality compacted earth, Linear take-off from plan  x  ROW section,  Assumed 100mm Thickness. Stablization of soils assumed. </t>
  </si>
  <si>
    <t xml:space="preserve">Wearing course &amp; curbs: Crushed stone stabilizer over compacted earth. Linear take-off from plan x ROW section. Assumed 200mm thickness. </t>
  </si>
  <si>
    <t>Wearing course &amp; curbs: Reinforced overflow paths of volcanic setts, 1m wide  x  ROW section, 10m centres, Stone reinforcement</t>
  </si>
  <si>
    <t>Wearing course &amp; curbs: Elevated diversion brakes of volcanic setts, 300mm wide  x  ROW section, 10m centres, stone reinforcement, elevated</t>
  </si>
  <si>
    <t xml:space="preserve">Base course: Sand &amp; aggregate, Linear take-off from plan  x  ROW section, Assumed Crashed aggregate stabilised with cement (Stone Base) Thickness 150mm </t>
  </si>
  <si>
    <t>Base course: Do-nou, Linear take-off from plan  x  ROW section, Second hand bags 25kg or 50kg filled with soil /murram</t>
  </si>
  <si>
    <t>Earthworks (cut and fill). Assumed average 2 m for cut/fill across all earthworks. Load and cart away</t>
  </si>
  <si>
    <t>m3</t>
  </si>
  <si>
    <t>Activity 1.1.2 Stormwater management</t>
  </si>
  <si>
    <t>Component lead to oversee all stormwater work work (nataional expert)</t>
  </si>
  <si>
    <t>Stormwater engineer (international expert)</t>
  </si>
  <si>
    <t>Detailed design and construction supervision of stormwater works.  Cost estimated based on industry standard percentage of estimated construction cost (6.5%) for size/type of project.</t>
  </si>
  <si>
    <t>Rendered stone channels with stream brakes. 300  x  300mm section. Stone stream at 5m centres. Thickness assumed at 200-300mm</t>
  </si>
  <si>
    <t>m</t>
  </si>
  <si>
    <t>Planted green swales small. Linear take-off from plan  x  ROW section. Turf grass assumed including soil preparation.  Swale has  perforated pipes underneath 1964LM</t>
  </si>
  <si>
    <t>Planted green swales large. Linear take-off from plan  x  ROW section. Assumed with succulent grass/ plant mix, soil preparation. With pipes</t>
  </si>
  <si>
    <t>Planted step swales small. Linear take-off from plan  x  ROW section. Steps at 5m centres. Soil preparation. No Pipes.</t>
  </si>
  <si>
    <t xml:space="preserve">Planted step swales large. Linear take-off from plan  x  ROW section. Steps at 5m centres. </t>
  </si>
  <si>
    <t>Infiltration ponds of gravel &amp; soil base with natural grasses &amp; shrubs. Allowance for rain gardens,  5m2 each. Infiltration galleries with geotextile, pipe inlets/ outlets. Assumed depth of 5 mtrs</t>
  </si>
  <si>
    <t>nr</t>
  </si>
  <si>
    <t xml:space="preserve">Retaining structures. Stone &amp; cement walls. Assume 500mm height  x  linear take off uphill side of contour roads &amp; paths only. 50% on cross counter contours . </t>
  </si>
  <si>
    <t>Retaining structures. Gabion walls. Assume 1m height  x  linear take-off terraced rain gardens &amp; 50% uphill side main collector road</t>
  </si>
  <si>
    <t xml:space="preserve">Trees for shade &amp; stabilisation. Allowance for existing village cluster. Assumed market rate </t>
  </si>
  <si>
    <t xml:space="preserve">Mixed shrubs for stabilisation. Allowance for existing village clusters. Assumed market rate </t>
  </si>
  <si>
    <t>Terraced rain gardens. Area take.off.  grassed area including terracing &amp; soil preparation</t>
  </si>
  <si>
    <t>Training for CoK and village on proper maintenance of stormwater systems</t>
  </si>
  <si>
    <t>Activity 1.1.3 Water supply</t>
  </si>
  <si>
    <t>Component lead for water activities</t>
  </si>
  <si>
    <t>Water and sanitation engineer (international expert)</t>
  </si>
  <si>
    <t>Detailed design of rainwater harvesting systems, evaluation of houses, and coordination with households. Cost estimated based on industry standard percentage of estimated construction cost (10%) for size/type of project.</t>
  </si>
  <si>
    <t>Rainwater harvesting installations on households (includes purchase of tank, gutter installations, first flush device, etc)</t>
  </si>
  <si>
    <t>household</t>
  </si>
  <si>
    <t>Trainings for beneficiaries and follow up visits for use and maintenance of rainwater harvesting system</t>
  </si>
  <si>
    <t>Detailed design of expansion of central water supply. Cost estimated based on industry standard percentage of estimated construction cost (10%) for size/type of project.</t>
  </si>
  <si>
    <t>Water distribution system</t>
  </si>
  <si>
    <t>LS</t>
  </si>
  <si>
    <t>Replaced</t>
  </si>
  <si>
    <t>Trainings on options for household drinking water treatment systems (assumed no venue cost, only expert cost). Assumed training for most households according to interest, estimated at 300.</t>
  </si>
  <si>
    <t>Description updated</t>
  </si>
  <si>
    <t>Activity 1.1.4 Sanitation</t>
  </si>
  <si>
    <t>Component lead for sanitation</t>
  </si>
  <si>
    <t>Detailed design and construction supervision of collective toilets and biogas system at market. Cost estimated based on industry standard percentage of estimated construction cost (6.5%) for size/type of project.</t>
  </si>
  <si>
    <t>Construction of collective toilets and biogas system at market. Toilets (2) Number. Digestor &amp; expansion chamber. Clay/concrete blocks, proofing. Excavations</t>
  </si>
  <si>
    <t>Training on sanitation and greywater management improvements. Assume 100 households attend training at least once, and each training has 10 households (some households attend twice).</t>
  </si>
  <si>
    <t>lump sum per training</t>
  </si>
  <si>
    <t>Training on the use and maintenance of the collective toilets and biogas system (assumed no venue cost, only expert cost). Target groups include market managers, community upgrading committee, TVET staff.</t>
  </si>
  <si>
    <t>Activity 1.1.5 Energy</t>
  </si>
  <si>
    <t>Component lead for energy</t>
  </si>
  <si>
    <t xml:space="preserve">Technical support to micro-finance institutions and households to increase access to micro-finance programs. </t>
  </si>
  <si>
    <t>Energy efficiency training</t>
  </si>
  <si>
    <t>workshop</t>
  </si>
  <si>
    <t>Detailed design and construction supervision of energy systems. Cost estimated based on industry standard percentage of estimated construction cost (7.6%) for size/type of project.</t>
  </si>
  <si>
    <t>Solar powered street lights. 15 meter centres on collector &amp; access roads. Assumed details from similar projects (including distribution wiring)</t>
  </si>
  <si>
    <t>Solar water heaters for pilot homes</t>
  </si>
  <si>
    <t xml:space="preserve">Solar PV for pilot homes </t>
  </si>
  <si>
    <t>Demonstration of improved cook stoves (expert and materials). Target audience includes households in the village. Assume 10-20  households in each workshop.</t>
  </si>
  <si>
    <t>Activity 1.1.6 Solid waste</t>
  </si>
  <si>
    <t>Component lead for solid waste management. Establishment of community composting organisation.</t>
  </si>
  <si>
    <t>Solid waste expert (international expert)</t>
  </si>
  <si>
    <t>Community Sustainability Liaison (waste ambassador and other support)</t>
  </si>
  <si>
    <t>person-days</t>
  </si>
  <si>
    <t>Detailed design of neighborhood collection points for recycables and composting facility. Cost estimated based on industry standard percentage of estimated construction cost (11.5%) for size/type of project.</t>
  </si>
  <si>
    <t>Construction of neighborhood collection points for recyclables. Assumed typology as Smart collection systems by smart africa &amp; norad- See image ( example at zinia Market in Kicukiro. Concrete slab ,roof, structure &amp; steel facility ( Assumed 2 for community facility each consisting 3 waste collection points)</t>
  </si>
  <si>
    <t>lump sum</t>
  </si>
  <si>
    <t>Composting facility. Civil works.</t>
  </si>
  <si>
    <t xml:space="preserve">Training with composting organisation and followup. Target audience is the members of the composting organisation. Workshop fee includes some materials. </t>
  </si>
  <si>
    <t>Community training on sorting recyclables and food waste, etc. Includes materials, expert input time, and training sessions for all households.</t>
  </si>
  <si>
    <t>annual lump sum</t>
  </si>
  <si>
    <t>Activity 1.1.7 Community facilities and TVET</t>
  </si>
  <si>
    <t>Component lead for community facilities</t>
  </si>
  <si>
    <t>Architect (international expert)</t>
  </si>
  <si>
    <t>Detailed design and construction supervision of TVET. Cost estimated based on industry standard percentage of estimated construction cost (11.5%) for size/type of project.</t>
  </si>
  <si>
    <t>Detailed design and construction supervision of upgrade to current market area and community centre. Cost estimated based on industry standard percentage of estimated construction cost (11.5%) for size/type of project.</t>
  </si>
  <si>
    <t xml:space="preserve">TVET building &amp; associated landscape. </t>
  </si>
  <si>
    <t>General TVET equipment ( hand held tools, fixtures, moulds etc)</t>
  </si>
  <si>
    <t>Marketplace roof and frame of local timber inc. rain harvesting &amp; solar PV. Based on attached concept. . Changed this m2 ( PV installations not included in Price- Elec Eng Input required)</t>
  </si>
  <si>
    <t>Market stalls. Allowance for current use. With drawers/ CS finish on platforms of blockwork/ concrete</t>
  </si>
  <si>
    <t xml:space="preserve">Public benches. Allowance for current use. </t>
  </si>
  <si>
    <t>Childrens' play furniture. To serve existing homes = 224. Recycled and installed</t>
  </si>
  <si>
    <t>Junior footpall pitch. Based on attached concept. . natural turf on grade. Assumed area already flat</t>
  </si>
  <si>
    <t>Public realm, parking &amp; drop-off in volcanic stone setts with non-permable pointing . 50mm thick</t>
  </si>
  <si>
    <t xml:space="preserve">Output 1.2 Increased awareness and capacity </t>
  </si>
  <si>
    <t>Activity 1.2.1 Community ownership and sustainability</t>
  </si>
  <si>
    <t xml:space="preserve">Workshops with community regarding climate change awareness, new infrastructure systems and best practice for climate-adapted home-level upgrades. Attendees are estimated to include 10-20 households for each workshop. </t>
  </si>
  <si>
    <t>Development and delivery of training and communication materials (includes adaptive upgrades manual/video and gender public communication, detailed in Gender Action Plan)</t>
  </si>
  <si>
    <t>annual cost</t>
  </si>
  <si>
    <t>Gender specialist</t>
  </si>
  <si>
    <t>Environmental Safeguards Specialist / M&amp;E Specialist</t>
  </si>
  <si>
    <t>Community engagement specialist (overall project)</t>
  </si>
  <si>
    <t>row before deleted</t>
  </si>
  <si>
    <t>Activity 1.2.2 TVET operationalised to serve as a learning and innovation centre for climate responsive upgrades</t>
  </si>
  <si>
    <t>Development of curriculum for the TVET (national experts)</t>
  </si>
  <si>
    <t>Local transport in Kigali. Rental of car / taxi</t>
  </si>
  <si>
    <t>Staff costs for Rwanda TVET Board input for curriculum and the operalisation of the new TVET</t>
  </si>
  <si>
    <t>Development of curriculum for the TVET (international experts)</t>
  </si>
  <si>
    <t>Construction sector experts (international expert)</t>
  </si>
  <si>
    <t>Construction sector experts (national expert)</t>
  </si>
  <si>
    <t xml:space="preserve">Materials for  capacity building for construction sector workers and professionals </t>
  </si>
  <si>
    <t>training materials</t>
  </si>
  <si>
    <t>Activity 1.2.3 Awareness raising and citizen engagement in climate responsive regeneration</t>
  </si>
  <si>
    <t>Awareness raising campaigns and engagement regarding climate responsive regeneration. (costs include material preparation, travel, venues, etc)</t>
  </si>
  <si>
    <t>Awareness raising activities in Kigali</t>
  </si>
  <si>
    <t>Total Component 1</t>
  </si>
  <si>
    <t>Component 2: Increased capacity for inclusive climate responsive upgrades and enabling environment for climate resilient, low emission investment</t>
  </si>
  <si>
    <t xml:space="preserve">Output 2.1 Increased capacity </t>
  </si>
  <si>
    <t>Activity 2.1.1 Institutional capacity development of GoR agencies</t>
  </si>
  <si>
    <t>International expert</t>
  </si>
  <si>
    <t>Workshops on climate resilient programming. Approximately 20 attendees each workshop (some attendees attend multiple workshops).</t>
  </si>
  <si>
    <t>National expert</t>
  </si>
  <si>
    <t>Activity 2.1.2 Blueprinting the GCK and Planning code for GoR</t>
  </si>
  <si>
    <t xml:space="preserve">Workshops on blueprinting the GCK. Approximately 10 attendees for each workshop. </t>
  </si>
  <si>
    <t>Activity 2.1.3 Development of recycling value chains</t>
  </si>
  <si>
    <t xml:space="preserve">Workshops on recycling value chains. Approximately 30 attendees for each workshop. </t>
  </si>
  <si>
    <t>Output 2.2 Enabling environment for climate resilient, low emission investment.</t>
  </si>
  <si>
    <t>Activity 2.2.1  Support for an enabling environment and mainstreaming green city development standards and approaches into regulatory and planning frameworks</t>
  </si>
  <si>
    <t>National experts</t>
  </si>
  <si>
    <t>Activity name changed</t>
  </si>
  <si>
    <t>Activity 2.2.2  Knowledge management system developed on climate responsive regeneration</t>
  </si>
  <si>
    <t>IT costs - costs to design the system and update it</t>
  </si>
  <si>
    <t>Expert changed, cost updated</t>
  </si>
  <si>
    <t>Total Component 2</t>
  </si>
  <si>
    <t>Project Management Component</t>
  </si>
  <si>
    <t>Project manager</t>
  </si>
  <si>
    <t>person-month</t>
  </si>
  <si>
    <t>Finance officer</t>
  </si>
  <si>
    <t>Project administrator</t>
  </si>
  <si>
    <t>Communication officer</t>
  </si>
  <si>
    <t>Procurement specialist</t>
  </si>
  <si>
    <t>Engaged to support progress, mid term and end of project evaluation</t>
  </si>
  <si>
    <t xml:space="preserve">Input in setup of M&amp;E systems, Mid term and end of project evaluation expert </t>
  </si>
  <si>
    <t>Equipment for use in PMU office (laptops, printer, scanner, etc)</t>
  </si>
  <si>
    <t>Inception and quarterly meetings</t>
  </si>
  <si>
    <t>annual</t>
  </si>
  <si>
    <t>Travel for project monitoring inclusive of financial monitoring and assessment</t>
  </si>
  <si>
    <t xml:space="preserve">Total PM Component </t>
  </si>
  <si>
    <t>Total Amount Land Compensation Costs (based on the RAP, 1019 RWF to USD)</t>
  </si>
  <si>
    <t>NEW</t>
  </si>
  <si>
    <t>Total Amount Tax Support</t>
  </si>
  <si>
    <t>Revised description</t>
  </si>
  <si>
    <t>Total Amount</t>
  </si>
  <si>
    <t>Updated</t>
  </si>
  <si>
    <t>Total Amount GCF</t>
  </si>
  <si>
    <t>Total Amount Country (not including VAT)</t>
  </si>
  <si>
    <t>Total Amount Country (including VAT)</t>
  </si>
  <si>
    <t>Total Amount AE</t>
  </si>
  <si>
    <t>VAT Summary</t>
  </si>
  <si>
    <t>Total for Staff Costs, Local Consultants, Equipment, Construction, Training, workshops</t>
  </si>
  <si>
    <t>Revised</t>
  </si>
  <si>
    <t>18% VAT on above costs</t>
  </si>
  <si>
    <t>Total for International Consultants and Travel</t>
  </si>
  <si>
    <t>15% VAT on above costs</t>
  </si>
  <si>
    <t>Total Estimated VAT</t>
  </si>
  <si>
    <t>Improvement timeline</t>
  </si>
  <si>
    <t>Costs and Timeline</t>
  </si>
  <si>
    <t>Cost per unit (USD)</t>
  </si>
  <si>
    <t>Units per year</t>
  </si>
  <si>
    <t>Cost per year (USD)</t>
  </si>
  <si>
    <t>Project year</t>
  </si>
  <si>
    <t>Funding source</t>
  </si>
  <si>
    <t>Action</t>
  </si>
  <si>
    <t>Item</t>
  </si>
  <si>
    <t>Activity No.</t>
  </si>
  <si>
    <t>1.1.1</t>
  </si>
  <si>
    <t>1.1.2</t>
  </si>
  <si>
    <t>1.1.3</t>
  </si>
  <si>
    <t>1.1.4</t>
  </si>
  <si>
    <t>1.1.5</t>
  </si>
  <si>
    <t>1.1.6</t>
  </si>
  <si>
    <t>Activity 1.1.7 Community buildings</t>
  </si>
  <si>
    <t>1.1.7</t>
  </si>
  <si>
    <t>Activity 1.2.1 Community ownership, gender equality and sustainability</t>
  </si>
  <si>
    <t>1.2.1</t>
  </si>
  <si>
    <t>1.2.2</t>
  </si>
  <si>
    <t>1.2.3</t>
  </si>
  <si>
    <t>2.1.1</t>
  </si>
  <si>
    <t>2.1.2</t>
  </si>
  <si>
    <t>2.1.3</t>
  </si>
  <si>
    <t>Activity 2.2.1  Policy support for an enabling environment and mainstreaming green city development standards and approaches into regulatory and planning frameworks</t>
  </si>
  <si>
    <t>2.2.1</t>
  </si>
  <si>
    <t>2.2.2</t>
  </si>
  <si>
    <t>PM</t>
  </si>
  <si>
    <t>Total PM component</t>
  </si>
  <si>
    <t>VAT summary</t>
  </si>
  <si>
    <t>Total</t>
  </si>
  <si>
    <t>Professional services not included</t>
  </si>
  <si>
    <t>Development and PM costs</t>
  </si>
  <si>
    <t>Total Amount Country</t>
  </si>
  <si>
    <t>Construction costs</t>
  </si>
  <si>
    <t>Operational costs</t>
  </si>
  <si>
    <t>Grand total</t>
  </si>
  <si>
    <t>Description</t>
  </si>
  <si>
    <t>Country/GCF</t>
  </si>
  <si>
    <t>Capital Costs</t>
  </si>
  <si>
    <t>Activity no.</t>
  </si>
  <si>
    <t>Development costs</t>
  </si>
  <si>
    <t>Replacement costs</t>
  </si>
  <si>
    <t>Replacement Costs</t>
  </si>
  <si>
    <t>Lifetime</t>
  </si>
  <si>
    <t>Number of replacements in lifetime</t>
  </si>
  <si>
    <t>Replacement cost (each)</t>
  </si>
  <si>
    <t>Annualised cost (each)</t>
  </si>
  <si>
    <t>Number of units</t>
  </si>
  <si>
    <t>Annualised cost (total)</t>
  </si>
  <si>
    <t>Activity nr</t>
  </si>
  <si>
    <t>Comments</t>
  </si>
  <si>
    <t>Replacement is 100% due to potential for changes in standards and potential degradation in wiring etc</t>
  </si>
  <si>
    <t xml:space="preserve">Replacement is based on battery life and cost for battery only. </t>
  </si>
  <si>
    <t>Total annualised replacement costs</t>
  </si>
  <si>
    <t>Summary</t>
  </si>
  <si>
    <t>Cost breakdown (USD)</t>
  </si>
  <si>
    <t>Breakdown</t>
  </si>
  <si>
    <t>Replacement Cost</t>
  </si>
  <si>
    <t>Owner</t>
  </si>
  <si>
    <t>Data Quality</t>
  </si>
  <si>
    <t>Development and management costs</t>
  </si>
  <si>
    <t>Construction stage development costs</t>
  </si>
  <si>
    <t>Capital costs</t>
  </si>
  <si>
    <t>Operation costs</t>
  </si>
  <si>
    <t>Loan repayment</t>
  </si>
  <si>
    <t>Repairs</t>
  </si>
  <si>
    <t>Staff costs</t>
  </si>
  <si>
    <t>O&amp;M</t>
  </si>
  <si>
    <t>to be completed</t>
  </si>
  <si>
    <t>Electricity costs</t>
  </si>
  <si>
    <t>Total costs</t>
  </si>
  <si>
    <t>Grand development, construction and operational costs</t>
  </si>
  <si>
    <t>Grand total including replacement</t>
  </si>
  <si>
    <t>Cost Effectiveness</t>
  </si>
  <si>
    <t>Cost per year</t>
  </si>
  <si>
    <t>Excluding Replacement and Finance</t>
  </si>
  <si>
    <t>Annex 4 costs</t>
  </si>
  <si>
    <t>Total cost (excluding replacement and finance)</t>
  </si>
  <si>
    <t>Cost per inhabitant (initial population)</t>
  </si>
  <si>
    <t>Based on number of existing properties and estimated household size</t>
  </si>
  <si>
    <t>Cost per inhabitant (including estimated pilot population)</t>
  </si>
  <si>
    <t>Calculated on total number of properties (including pilot) and estimated household size</t>
  </si>
  <si>
    <t>Cost per household (initial residential properties only)</t>
  </si>
  <si>
    <t>Includes solar PV and Solar heating for pilot properties</t>
  </si>
  <si>
    <t>Cost per household (including pilot properties)</t>
  </si>
  <si>
    <t>Cost per ha</t>
  </si>
  <si>
    <t>Including Replacement and Finance</t>
  </si>
  <si>
    <t>Annex 4 costs + replacement and finance</t>
  </si>
  <si>
    <t>Total cost (including replacement and finance)</t>
  </si>
  <si>
    <t>Cost per household (initial residential properties)</t>
  </si>
  <si>
    <t>Cashflow</t>
  </si>
  <si>
    <t>Calculation year</t>
  </si>
  <si>
    <t>Flags</t>
  </si>
  <si>
    <t>Development stage</t>
  </si>
  <si>
    <t>DEVEX</t>
  </si>
  <si>
    <t>CAPEX</t>
  </si>
  <si>
    <t>OPEX</t>
  </si>
  <si>
    <t>Spend (USD)</t>
  </si>
  <si>
    <t>Discount rate (real)</t>
  </si>
  <si>
    <t>Extracted from the World Bank database real interest rate values for Rwanda (2020)</t>
  </si>
  <si>
    <t>Opening balance</t>
  </si>
  <si>
    <t>Repayment</t>
  </si>
  <si>
    <t>Closing balance</t>
  </si>
  <si>
    <t>Interest on loan</t>
  </si>
  <si>
    <t>Annuity repayment</t>
  </si>
  <si>
    <t>Annuity (P+I)</t>
  </si>
  <si>
    <t>Total repayment on loan</t>
  </si>
  <si>
    <t>Discounted Spend (USD)</t>
  </si>
  <si>
    <t>Solar Street Light Savings</t>
  </si>
  <si>
    <t>Cost of standard non-solar streetlight</t>
  </si>
  <si>
    <t>BoQ</t>
  </si>
  <si>
    <t>Number of standard street lights</t>
  </si>
  <si>
    <t>Total cost of standard street lights</t>
  </si>
  <si>
    <t>Cost of solar street light</t>
  </si>
  <si>
    <t>Number of solar street lights</t>
  </si>
  <si>
    <t>Total cost of solar street lights</t>
  </si>
  <si>
    <t>Traditional street lighting electricity requirement</t>
  </si>
  <si>
    <t>(kWh/year)</t>
  </si>
  <si>
    <t>Assumes that traditional lights use the same amount of power as solar i.e. using same lightbulbs (LED) and on for same duration</t>
  </si>
  <si>
    <t>Cost of electricity (high)</t>
  </si>
  <si>
    <t>(RWF/kWh)</t>
  </si>
  <si>
    <t>Non-residential cost</t>
  </si>
  <si>
    <t>Cost of electricity (low)</t>
  </si>
  <si>
    <t>Residential cost</t>
  </si>
  <si>
    <t>Cost of operation for all standard street lights (high electricity cost)</t>
  </si>
  <si>
    <t>(RWF/year)</t>
  </si>
  <si>
    <t>Electricty requirement x cost of electricity</t>
  </si>
  <si>
    <t>Cost of operation for all standard street lights (low electricity cost)</t>
  </si>
  <si>
    <t>($/year)</t>
  </si>
  <si>
    <t>Cost difference between solar and standard street lights</t>
  </si>
  <si>
    <t>Amount to be saved through reduced electricity costs</t>
  </si>
  <si>
    <t>Years for cost difference payback (high electricty cost)</t>
  </si>
  <si>
    <t>Price difference / operational cost per year</t>
  </si>
  <si>
    <t>Years for cost difference payback (low electricty cost)</t>
  </si>
  <si>
    <t>Annual increase in electricty costs</t>
  </si>
  <si>
    <t>Based on historic pricing</t>
  </si>
  <si>
    <t>Standard street lighting costs</t>
  </si>
  <si>
    <t>Annualised capital cost of standard street lighting</t>
  </si>
  <si>
    <t>Annual electricity costof standard street lighting (high)</t>
  </si>
  <si>
    <t>Annual electricity costof standard street lighting (low)</t>
  </si>
  <si>
    <t>Total annual cost (fixed high electricity cost)</t>
  </si>
  <si>
    <t>Total annual cost (fixed low electricity cost)</t>
  </si>
  <si>
    <t>Total annual cost (increasing high electricity cost)</t>
  </si>
  <si>
    <t>Total annual cost (increasing low electricity cost)</t>
  </si>
  <si>
    <t>Solar street lighting costs</t>
  </si>
  <si>
    <t>Annualised capital cost of solar street lighting</t>
  </si>
  <si>
    <t>Annual electricity costof solar street lighting</t>
  </si>
  <si>
    <t>Total annual cost for solar street lights</t>
  </si>
  <si>
    <t>Difference in costs lifetime</t>
  </si>
  <si>
    <t>Cost difference between solar and constant high electricity</t>
  </si>
  <si>
    <t>Cost difference between solar and constant low electricity</t>
  </si>
  <si>
    <t>Cost difference between solar and increasing high electricity</t>
  </si>
  <si>
    <t>Cost difference between solar and increasing low electricity</t>
  </si>
  <si>
    <t>Discounted cost difference between solar and increasing high electricity</t>
  </si>
  <si>
    <t>Cumulative cost difference between solar and increasing high electricity</t>
  </si>
  <si>
    <t>Discounted ost difference between solar and increasing low electricity</t>
  </si>
  <si>
    <t>Cumulative cost difference between solar and increasing low electricity</t>
  </si>
  <si>
    <t>Discounted payback period (increasing high elect)</t>
  </si>
  <si>
    <t>Payback period (increasing high elect)</t>
  </si>
  <si>
    <t>Payback period (increasing low elect)</t>
  </si>
  <si>
    <t>Discounted payback period (increasing low elect)</t>
  </si>
  <si>
    <t>Sensitivity Analysis</t>
  </si>
  <si>
    <t>Percentage change in cost
(Development, construction and operation)</t>
  </si>
  <si>
    <t>Change %age</t>
  </si>
  <si>
    <t>Construction Cost</t>
  </si>
  <si>
    <t>Operating Cost</t>
  </si>
  <si>
    <t xml:space="preserve">Percentage change in overall cost
(all stages)
</t>
  </si>
  <si>
    <t>Values in model</t>
  </si>
  <si>
    <t>Nominal</t>
  </si>
  <si>
    <t>Utility</t>
  </si>
  <si>
    <t>Solar PV</t>
  </si>
  <si>
    <t>Real</t>
  </si>
  <si>
    <t>Public building</t>
  </si>
  <si>
    <t>Charcoal</t>
  </si>
  <si>
    <t>Candle</t>
  </si>
  <si>
    <t>Gas</t>
  </si>
  <si>
    <t>Electricity (mains)</t>
  </si>
  <si>
    <t>LOGO</t>
  </si>
  <si>
    <t>Business as Usual</t>
  </si>
  <si>
    <t>See annex 4 instead</t>
  </si>
  <si>
    <t>Wearing course and curbs</t>
  </si>
  <si>
    <t>Volcanic setts with permeable open pointing</t>
  </si>
  <si>
    <t>Volcanic setts with non-permable pointing</t>
  </si>
  <si>
    <t>Asphalt cyclepath</t>
  </si>
  <si>
    <t>High quality compacted earth</t>
  </si>
  <si>
    <t xml:space="preserve">Crushed stone stabilizer over compacted earth </t>
  </si>
  <si>
    <t>Reinforced overflow paths of volcanic setts</t>
  </si>
  <si>
    <t>Elevated diversion brakes of volcanic setts</t>
  </si>
  <si>
    <t>Base course</t>
  </si>
  <si>
    <t>Sand &amp; aggregate</t>
  </si>
  <si>
    <t>Do-nou</t>
  </si>
  <si>
    <t>Eathworks (Cut &amp; fill)</t>
  </si>
  <si>
    <t>Stormwater collection &amp; discharge</t>
  </si>
  <si>
    <t>Rendered stone channels with stream brakes</t>
  </si>
  <si>
    <t>Planted green swales small</t>
  </si>
  <si>
    <t>Planted green swales large</t>
  </si>
  <si>
    <t>Planted step swales small</t>
  </si>
  <si>
    <t>Planted step swales large</t>
  </si>
  <si>
    <t>Infiltration ponds of gravel &amp; soil base with natural grasses &amp; shrubs</t>
  </si>
  <si>
    <t>Structures</t>
  </si>
  <si>
    <t>Stone &amp; cement walls</t>
  </si>
  <si>
    <t>Gabion walls</t>
  </si>
  <si>
    <t>Bridge / culvert</t>
  </si>
  <si>
    <t>??</t>
  </si>
  <si>
    <t>Vegetation</t>
  </si>
  <si>
    <t>Trees for shade &amp; stabilisation</t>
  </si>
  <si>
    <t>Mixed shrubs for stabilisation</t>
  </si>
  <si>
    <t>Terraced rain gardens</t>
  </si>
  <si>
    <t>Ancillary utilities</t>
  </si>
  <si>
    <t>Solar powered street lights</t>
  </si>
  <si>
    <t>Central water supply</t>
  </si>
  <si>
    <t>Central power supply</t>
  </si>
  <si>
    <t>Community centre upgrade</t>
  </si>
  <si>
    <t>Marketplace roof and frame of local timber inc. rain harvesting &amp; solar PV</t>
  </si>
  <si>
    <t>Market stalls</t>
  </si>
  <si>
    <t>Public benches</t>
  </si>
  <si>
    <t>Childrens' play furniture</t>
  </si>
  <si>
    <t>Junior footpall pitch</t>
  </si>
  <si>
    <t xml:space="preserve">Public realm, parking &amp; drop-off in volcanic stone setts with non-permable pointing </t>
  </si>
  <si>
    <t>TVET</t>
  </si>
  <si>
    <t>TVET building &amp; associated landscape</t>
  </si>
  <si>
    <t>Full time training and admin staff</t>
  </si>
  <si>
    <t>Technical equipment &amp; materials</t>
  </si>
  <si>
    <t>Resource recovery centre</t>
  </si>
  <si>
    <t>Composting facility</t>
  </si>
  <si>
    <t>Pour-flush public toilets at market with biogas recovery plant</t>
  </si>
  <si>
    <t>Waste management</t>
  </si>
  <si>
    <t>Neighbourhood waste collection bins</t>
  </si>
  <si>
    <t>Recycling sorting &amp; collection bins</t>
  </si>
  <si>
    <t>Household green enhancements</t>
  </si>
  <si>
    <t>Solar PVs</t>
  </si>
  <si>
    <t>Rain harvesting system</t>
  </si>
  <si>
    <t>Solar water heaters</t>
  </si>
  <si>
    <t>Energy efficient lightblubs</t>
  </si>
  <si>
    <t>Additional technical assistance</t>
  </si>
  <si>
    <t>Technical coaching</t>
  </si>
  <si>
    <t>Provisional sums</t>
  </si>
  <si>
    <t xml:space="preserve">Provisional items </t>
  </si>
  <si>
    <t>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</si>
</sst>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quot;£&quot;* #,##0.00_-;_-&quot;£&quot;* &quot;-&quot;??_-;_-@_-"/>
    <numFmt numFmtId="43" formatCode="_-* #,##0.00_-;\-* #,##0.00_-;_-* &quot;-&quot;??_-;_-@_-"/>
    <numFmt numFmtId="164" formatCode="[$-F800]dddd\,\ mmmm\ dd\,\ yyyy"/>
    <numFmt numFmtId="165" formatCode="_-[$$-409]* #,##0.00_ ;_-[$$-409]* \-#,##0.00\ ;_-[$$-409]* &quot;-&quot;??_ ;_-@_ "/>
    <numFmt numFmtId="166" formatCode="#,##0;\-#,##0;\-"/>
    <numFmt numFmtId="167" formatCode="_-* #,##0_-;\-* #,##0_-;_-* &quot;-&quot;??_-;_-@_-"/>
    <numFmt numFmtId="168" formatCode="[$$-409]#,##0"/>
    <numFmt numFmtId="169" formatCode="[$$-409]#,##0.00"/>
    <numFmt numFmtId="170" formatCode="_-[$$-409]* #,##0_ ;_-[$$-409]* \-#,##0\ ;_-[$$-409]* &quot;-&quot;_ ;_-@_ "/>
    <numFmt numFmtId="171" formatCode="_-[$$-409]* #,##0_ ;_-[$$-409]* \-#,##0\ ;_-[$$-409]* &quot;-&quot;??_ ;_-@_ "/>
    <numFmt numFmtId="172" formatCode="0.0"/>
    <numFmt numFmtId="173" formatCode="0.0%"/>
    <numFmt numFmtId="174" formatCode="0.000%"/>
    <numFmt numFmtId="175" formatCode="0.00000"/>
    <numFmt numFmtId="176" formatCode="_-* #,##0.0_-;\-* #,##0.0_-;_-* &quot;-&quot;??_-;_-@_-"/>
  </numFmts>
  <fonts count="21">
    <font>
      <sz val="11"/>
      <color theme="1"/>
      <name val="Sweco Sans"/>
      <family val="2"/>
      <scheme val="minor"/>
    </font>
    <font>
      <sz val="11"/>
      <color rgb="FFFF0000"/>
      <name val="Sweco Sans"/>
      <family val="2"/>
      <scheme val="minor"/>
    </font>
    <font>
      <b/>
      <sz val="11"/>
      <color theme="1"/>
      <name val="Sweco Sans"/>
      <family val="2"/>
      <scheme val="minor"/>
    </font>
    <font>
      <b/>
      <sz val="14"/>
      <color theme="1"/>
      <name val="Sweco Sans"/>
      <family val="2"/>
      <scheme val="minor"/>
    </font>
    <font>
      <sz val="11"/>
      <color theme="1"/>
      <name val="Sweco Sans"/>
      <family val="2"/>
      <scheme val="minor"/>
    </font>
    <font>
      <sz val="11"/>
      <color rgb="FF000000"/>
      <name val="Sweco Sans"/>
      <family val="2"/>
      <scheme val="minor"/>
    </font>
    <font>
      <sz val="11"/>
      <color rgb="FFFFFFFF"/>
      <name val="Sweco Sans"/>
      <family val="2"/>
      <scheme val="minor"/>
    </font>
    <font>
      <b/>
      <sz val="11"/>
      <color theme="1"/>
      <name val="Sweco Sans"/>
      <scheme val="minor"/>
    </font>
    <font>
      <i/>
      <sz val="11"/>
      <color theme="1"/>
      <name val="Sweco Sans"/>
      <scheme val="minor"/>
    </font>
    <font>
      <sz val="11"/>
      <color theme="1"/>
      <name val="Calibri"/>
      <family val="2"/>
    </font>
    <font>
      <b/>
      <sz val="11"/>
      <color rgb="FFFF0000"/>
      <name val="Sweco Sans"/>
      <scheme val="minor"/>
    </font>
    <font>
      <sz val="11"/>
      <name val="Sweco Sans"/>
      <family val="2"/>
      <scheme val="minor"/>
    </font>
    <font>
      <b/>
      <sz val="11"/>
      <color rgb="FFFFFFFF"/>
      <name val="Sweco Sans"/>
      <scheme val="minor"/>
    </font>
    <font>
      <sz val="11"/>
      <color theme="1"/>
      <name val="Sweco Sans"/>
      <scheme val="minor"/>
    </font>
    <font>
      <sz val="15"/>
      <color theme="1"/>
      <name val="Arial"/>
      <family val="2"/>
    </font>
    <font>
      <sz val="6"/>
      <color theme="1"/>
      <name val="Arial"/>
      <family val="2"/>
    </font>
    <font>
      <sz val="9"/>
      <color theme="1"/>
      <name val="Arial"/>
      <family val="2"/>
    </font>
    <font>
      <i/>
      <sz val="11"/>
      <color theme="1"/>
      <name val="Sweco Sans"/>
      <family val="2"/>
      <scheme val="minor"/>
    </font>
    <font>
      <sz val="10"/>
      <color rgb="FF000000"/>
      <name val="Arial"/>
      <family val="2"/>
    </font>
    <font>
      <sz val="10"/>
      <color theme="1"/>
      <name val="Sweco Sans"/>
      <family val="2"/>
      <scheme val="minor"/>
    </font>
    <font>
      <sz val="11"/>
      <color theme="1"/>
      <name val="Sweco Sans"/>
      <scheme val="major"/>
    </font>
  </fonts>
  <fills count="21">
    <fill>
      <patternFill patternType="none"/>
    </fill>
    <fill>
      <patternFill patternType="gray125"/>
    </fill>
    <fill>
      <patternFill patternType="solid">
        <fgColor theme="7"/>
        <bgColor indexed="64"/>
      </patternFill>
    </fill>
    <fill>
      <patternFill patternType="solid">
        <fgColor theme="4"/>
        <bgColor indexed="64"/>
      </patternFill>
    </fill>
    <fill>
      <patternFill patternType="solid">
        <fgColor rgb="FFF2B1DC"/>
        <bgColor indexed="64"/>
      </patternFill>
    </fill>
    <fill>
      <patternFill patternType="solid">
        <fgColor rgb="FF8593AF"/>
        <bgColor indexed="64"/>
      </patternFill>
    </fill>
    <fill>
      <patternFill patternType="solid">
        <fgColor rgb="FFE2E0DA"/>
        <bgColor indexed="64"/>
      </patternFill>
    </fill>
    <fill>
      <patternFill patternType="solid">
        <fgColor theme="9" tint="0.79998168889431442"/>
        <bgColor indexed="64"/>
      </patternFill>
    </fill>
    <fill>
      <patternFill patternType="solid">
        <fgColor rgb="FFFFFF00"/>
        <bgColor indexed="64"/>
      </patternFill>
    </fill>
    <fill>
      <patternFill patternType="solid">
        <fgColor theme="8"/>
        <bgColor indexed="64"/>
      </patternFill>
    </fill>
    <fill>
      <patternFill patternType="solid">
        <fgColor theme="4" tint="0.39997558519241921"/>
        <bgColor indexed="64"/>
      </patternFill>
    </fill>
    <fill>
      <patternFill patternType="solid">
        <fgColor theme="0"/>
        <bgColor indexed="64"/>
      </patternFill>
    </fill>
    <fill>
      <patternFill patternType="solid">
        <fgColor theme="8" tint="0.79998168889431442"/>
        <bgColor indexed="64"/>
      </patternFill>
    </fill>
    <fill>
      <patternFill patternType="solid">
        <fgColor rgb="FF9DD354"/>
        <bgColor indexed="64"/>
      </patternFill>
    </fill>
    <fill>
      <patternFill patternType="solid">
        <fgColor theme="4" tint="0.59999389629810485"/>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C0D4FD"/>
        <bgColor indexed="64"/>
      </patternFill>
    </fill>
    <fill>
      <patternFill patternType="solid">
        <fgColor theme="6" tint="0.59999389629810485"/>
        <bgColor rgb="FF000000"/>
      </patternFill>
    </fill>
    <fill>
      <patternFill patternType="solid">
        <fgColor rgb="FFFADEF0"/>
        <bgColor rgb="FF000000"/>
      </patternFill>
    </fill>
  </fills>
  <borders count="54">
    <border>
      <left/>
      <right/>
      <top/>
      <bottom/>
      <diagonal/>
    </border>
    <border>
      <left style="thin">
        <color rgb="FFF2B1DC"/>
      </left>
      <right style="thin">
        <color rgb="FFF2B1DC"/>
      </right>
      <top style="thin">
        <color rgb="FFF2B1DC"/>
      </top>
      <bottom style="thin">
        <color rgb="FFF2B1DC"/>
      </bottom>
      <diagonal/>
    </border>
    <border>
      <left style="thin">
        <color rgb="FFB484A2"/>
      </left>
      <right style="thin">
        <color rgb="FFB484A2"/>
      </right>
      <top style="thin">
        <color rgb="FFB484A2"/>
      </top>
      <bottom style="thin">
        <color rgb="FFB484A2"/>
      </bottom>
      <diagonal/>
    </border>
    <border>
      <left style="thin">
        <color rgb="FF8593AF"/>
      </left>
      <right style="thin">
        <color rgb="FF8593AF"/>
      </right>
      <top style="thin">
        <color rgb="FF8593AF"/>
      </top>
      <bottom style="thin">
        <color rgb="FF8593AF"/>
      </bottom>
      <diagonal/>
    </border>
    <border>
      <left style="thin">
        <color rgb="FFE2E0DA"/>
      </left>
      <right style="thin">
        <color rgb="FFE2E0DA"/>
      </right>
      <top style="thin">
        <color rgb="FFE2E0DA"/>
      </top>
      <bottom style="thin">
        <color rgb="FFE2E0DA"/>
      </bottom>
      <diagonal/>
    </border>
    <border>
      <left style="thin">
        <color indexed="64"/>
      </left>
      <right style="thin">
        <color indexed="64"/>
      </right>
      <top style="thin">
        <color indexed="64"/>
      </top>
      <bottom style="thin">
        <color indexed="64"/>
      </bottom>
      <diagonal/>
    </border>
    <border>
      <left style="thin">
        <color rgb="FFB484A2"/>
      </left>
      <right style="thin">
        <color rgb="FFB484A2"/>
      </right>
      <top style="thin">
        <color rgb="FFB484A2"/>
      </top>
      <bottom/>
      <diagonal/>
    </border>
    <border>
      <left style="thin">
        <color rgb="FFF2B1DC"/>
      </left>
      <right style="thin">
        <color rgb="FFF2B1DC"/>
      </right>
      <top style="thin">
        <color rgb="FFF2B1DC"/>
      </top>
      <bottom/>
      <diagonal/>
    </border>
    <border>
      <left style="thin">
        <color rgb="FFE2E0DA"/>
      </left>
      <right style="thin">
        <color rgb="FFE2E0DA"/>
      </right>
      <top style="thin">
        <color rgb="FFE2E0DA"/>
      </top>
      <bottom/>
      <diagonal/>
    </border>
    <border>
      <left style="thin">
        <color rgb="FFF2B1DC"/>
      </left>
      <right/>
      <top/>
      <bottom/>
      <diagonal/>
    </border>
    <border>
      <left style="thin">
        <color rgb="FFF2B1DC"/>
      </left>
      <right style="thin">
        <color rgb="FFF2B1DC"/>
      </right>
      <top/>
      <bottom/>
      <diagonal/>
    </border>
    <border>
      <left style="thin">
        <color rgb="FFF2B1DC"/>
      </left>
      <right style="thin">
        <color rgb="FFF2B1DC"/>
      </right>
      <top/>
      <bottom style="thin">
        <color rgb="FFF2B1DC"/>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9DD354"/>
      </left>
      <right style="thin">
        <color rgb="FF9DD354"/>
      </right>
      <top style="thin">
        <color rgb="FF9DD354"/>
      </top>
      <bottom style="thin">
        <color rgb="FF9DD354"/>
      </bottom>
      <diagonal/>
    </border>
    <border>
      <left style="thin">
        <color rgb="FFF2B1DC"/>
      </left>
      <right/>
      <top style="thin">
        <color rgb="FFF2B1DC"/>
      </top>
      <bottom/>
      <diagonal/>
    </border>
    <border>
      <left style="thin">
        <color rgb="FFF2B1DC"/>
      </left>
      <right/>
      <top/>
      <bottom style="thin">
        <color rgb="FFF2B1DC"/>
      </bottom>
      <diagonal/>
    </border>
    <border>
      <left style="thin">
        <color rgb="FFB484A2"/>
      </left>
      <right style="thin">
        <color rgb="FFB484A2"/>
      </right>
      <top/>
      <bottom style="thin">
        <color rgb="FFB484A2"/>
      </bottom>
      <diagonal/>
    </border>
    <border>
      <left/>
      <right/>
      <top style="thin">
        <color rgb="FFF2B1DC"/>
      </top>
      <bottom/>
      <diagonal/>
    </border>
    <border>
      <left/>
      <right/>
      <top/>
      <bottom style="thin">
        <color rgb="FFF2B1DC"/>
      </bottom>
      <diagonal/>
    </border>
    <border>
      <left style="thin">
        <color rgb="FFE2E0DA"/>
      </left>
      <right style="thin">
        <color rgb="FFE2E0DA"/>
      </right>
      <top/>
      <bottom/>
      <diagonal/>
    </border>
    <border>
      <left style="thin">
        <color rgb="FFE2E0DA"/>
      </left>
      <right style="thin">
        <color rgb="FFE2E0DA"/>
      </right>
      <top/>
      <bottom style="thin">
        <color rgb="FFE2E0DA"/>
      </bottom>
      <diagonal/>
    </border>
    <border>
      <left/>
      <right/>
      <top/>
      <bottom style="medium">
        <color indexed="64"/>
      </bottom>
      <diagonal/>
    </border>
    <border>
      <left/>
      <right/>
      <top style="medium">
        <color indexed="64"/>
      </top>
      <bottom/>
      <diagonal/>
    </border>
    <border>
      <left style="thin">
        <color rgb="FFB484A2"/>
      </left>
      <right/>
      <top style="thin">
        <color rgb="FFB484A2"/>
      </top>
      <bottom style="thin">
        <color rgb="FFB484A2"/>
      </bottom>
      <diagonal/>
    </border>
    <border>
      <left/>
      <right/>
      <top style="thin">
        <color rgb="FFB484A2"/>
      </top>
      <bottom style="thin">
        <color rgb="FFB484A2"/>
      </bottom>
      <diagonal/>
    </border>
    <border>
      <left style="thin">
        <color rgb="FF8593AF"/>
      </left>
      <right/>
      <top style="thin">
        <color rgb="FF8593AF"/>
      </top>
      <bottom style="thin">
        <color rgb="FF8593AF"/>
      </bottom>
      <diagonal/>
    </border>
    <border>
      <left style="thin">
        <color rgb="FFB484A2"/>
      </left>
      <right/>
      <top style="thin">
        <color rgb="FF8593AF"/>
      </top>
      <bottom style="thin">
        <color rgb="FF8593AF"/>
      </bottom>
      <diagonal/>
    </border>
    <border>
      <left style="thin">
        <color rgb="FFB484A2"/>
      </left>
      <right style="thin">
        <color rgb="FF8593AF"/>
      </right>
      <top style="thin">
        <color rgb="FF8593AF"/>
      </top>
      <bottom style="thin">
        <color rgb="FF8593AF"/>
      </bottom>
      <diagonal/>
    </border>
    <border>
      <left/>
      <right/>
      <top style="thin">
        <color rgb="FFE2E0DA"/>
      </top>
      <bottom style="thin">
        <color rgb="FFE2E0DA"/>
      </bottom>
      <diagonal/>
    </border>
    <border>
      <left/>
      <right style="thin">
        <color rgb="FFE2E0DA"/>
      </right>
      <top style="thin">
        <color rgb="FFE2E0DA"/>
      </top>
      <bottom style="thin">
        <color rgb="FFE2E0DA"/>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auto="1"/>
      </left>
      <right/>
      <top/>
      <bottom/>
      <diagonal/>
    </border>
    <border>
      <left style="medium">
        <color auto="1"/>
      </left>
      <right/>
      <top style="medium">
        <color indexed="64"/>
      </top>
      <bottom/>
      <diagonal/>
    </border>
    <border>
      <left style="thin">
        <color rgb="FFE2E0DA"/>
      </left>
      <right/>
      <top style="thin">
        <color rgb="FFE2E0DA"/>
      </top>
      <bottom style="thin">
        <color rgb="FFE2E0DA"/>
      </bottom>
      <diagonal/>
    </border>
    <border>
      <left/>
      <right style="thin">
        <color rgb="FFE2E0DA"/>
      </right>
      <top/>
      <bottom/>
      <diagonal/>
    </border>
    <border>
      <left/>
      <right/>
      <top style="thin">
        <color rgb="FFE2E0DA"/>
      </top>
      <bottom/>
      <diagonal/>
    </border>
    <border>
      <left/>
      <right style="thin">
        <color rgb="FFE2E0DA"/>
      </right>
      <top style="thin">
        <color rgb="FFE2E0DA"/>
      </top>
      <bottom/>
      <diagonal/>
    </border>
    <border>
      <left style="thin">
        <color rgb="FFE2E0DA"/>
      </left>
      <right/>
      <top/>
      <bottom/>
      <diagonal/>
    </border>
    <border>
      <left style="thin">
        <color rgb="FFE2E0DA"/>
      </left>
      <right/>
      <top style="thin">
        <color rgb="FFE2E0DA"/>
      </top>
      <bottom/>
      <diagonal/>
    </border>
    <border>
      <left style="thin">
        <color rgb="FFE2E0DA"/>
      </left>
      <right/>
      <top/>
      <bottom style="thin">
        <color rgb="FFE2E0DA"/>
      </bottom>
      <diagonal/>
    </border>
    <border>
      <left style="thin">
        <color rgb="FF8593AF"/>
      </left>
      <right style="thin">
        <color rgb="FF8593AF"/>
      </right>
      <top style="thin">
        <color rgb="FF8593AF"/>
      </top>
      <bottom style="thin">
        <color rgb="FFF2B1DC"/>
      </bottom>
      <diagonal/>
    </border>
    <border>
      <left style="thin">
        <color rgb="FF8593AF"/>
      </left>
      <right style="thin">
        <color rgb="FF8593AF"/>
      </right>
      <top/>
      <bottom style="thin">
        <color rgb="FF8593AF"/>
      </bottom>
      <diagonal/>
    </border>
    <border>
      <left style="thin">
        <color rgb="FF9DD354"/>
      </left>
      <right style="thin">
        <color rgb="FF9DD354"/>
      </right>
      <top/>
      <bottom style="thin">
        <color rgb="FF9DD354"/>
      </bottom>
      <diagonal/>
    </border>
    <border>
      <left style="thin">
        <color rgb="FF8593AF"/>
      </left>
      <right style="thin">
        <color rgb="FF8593AF"/>
      </right>
      <top style="thin">
        <color rgb="FFF2B1DC"/>
      </top>
      <bottom style="thin">
        <color rgb="FF8593AF"/>
      </bottom>
      <diagonal/>
    </border>
    <border>
      <left style="thin">
        <color indexed="64"/>
      </left>
      <right/>
      <top/>
      <bottom/>
      <diagonal/>
    </border>
    <border>
      <left style="thin">
        <color rgb="FFA6A6A6"/>
      </left>
      <right style="thin">
        <color rgb="FFA6A6A6"/>
      </right>
      <top style="thin">
        <color rgb="FFA6A6A6"/>
      </top>
      <bottom style="thin">
        <color rgb="FFA6A6A6"/>
      </bottom>
      <diagonal/>
    </border>
  </borders>
  <cellStyleXfs count="11">
    <xf numFmtId="0" fontId="0" fillId="0" borderId="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18"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9" fillId="0" borderId="0">
      <alignment vertical="center"/>
    </xf>
    <xf numFmtId="43" fontId="4" fillId="0" borderId="0" applyFont="0" applyFill="0" applyBorder="0" applyAlignment="0" applyProtection="0"/>
  </cellStyleXfs>
  <cellXfs count="291">
    <xf numFmtId="0" fontId="0" fillId="0" borderId="0" xfId="0"/>
    <xf numFmtId="0" fontId="1" fillId="0" borderId="0" xfId="0" applyFont="1"/>
    <xf numFmtId="0" fontId="2" fillId="0" borderId="0" xfId="0" applyFont="1"/>
    <xf numFmtId="0" fontId="3" fillId="0" borderId="0" xfId="0" applyFont="1"/>
    <xf numFmtId="164" fontId="0" fillId="0" borderId="0" xfId="0" applyNumberFormat="1"/>
    <xf numFmtId="164" fontId="0" fillId="2" borderId="0" xfId="0" applyNumberFormat="1" applyFill="1"/>
    <xf numFmtId="0" fontId="0" fillId="3" borderId="0" xfId="0" applyFill="1"/>
    <xf numFmtId="164" fontId="6" fillId="5" borderId="3" xfId="0" applyNumberFormat="1" applyFont="1" applyFill="1" applyBorder="1"/>
    <xf numFmtId="0" fontId="5" fillId="6" borderId="4" xfId="0" applyFont="1" applyFill="1" applyBorder="1"/>
    <xf numFmtId="164" fontId="7" fillId="0" borderId="0" xfId="0" applyNumberFormat="1" applyFont="1"/>
    <xf numFmtId="0" fontId="3" fillId="7" borderId="0" xfId="0" applyFont="1" applyFill="1"/>
    <xf numFmtId="0" fontId="0" fillId="7" borderId="0" xfId="0" applyFill="1"/>
    <xf numFmtId="0" fontId="8" fillId="0" borderId="0" xfId="0" applyFont="1"/>
    <xf numFmtId="0" fontId="0" fillId="4" borderId="0" xfId="0" applyFill="1"/>
    <xf numFmtId="0" fontId="7" fillId="0" borderId="0" xfId="0" applyFont="1"/>
    <xf numFmtId="0" fontId="0" fillId="0" borderId="0" xfId="0" applyAlignment="1">
      <alignment wrapText="1"/>
    </xf>
    <xf numFmtId="9" fontId="0" fillId="4" borderId="0" xfId="1" applyFont="1" applyFill="1"/>
    <xf numFmtId="0" fontId="0" fillId="8" borderId="0" xfId="0" applyFill="1"/>
    <xf numFmtId="2" fontId="0" fillId="0" borderId="0" xfId="0" applyNumberFormat="1"/>
    <xf numFmtId="1" fontId="0" fillId="0" borderId="0" xfId="0" applyNumberFormat="1"/>
    <xf numFmtId="0" fontId="9" fillId="0" borderId="0" xfId="0" applyFont="1"/>
    <xf numFmtId="164" fontId="0" fillId="0" borderId="0" xfId="0" applyNumberFormat="1" applyAlignment="1">
      <alignment wrapText="1"/>
    </xf>
    <xf numFmtId="0" fontId="0" fillId="4" borderId="0" xfId="0" applyFill="1" applyAlignment="1">
      <alignment vertical="center"/>
    </xf>
    <xf numFmtId="0" fontId="7" fillId="0" borderId="0" xfId="0" applyFont="1" applyAlignment="1">
      <alignment wrapText="1"/>
    </xf>
    <xf numFmtId="9" fontId="0" fillId="0" borderId="0" xfId="1" applyFont="1"/>
    <xf numFmtId="0" fontId="6" fillId="5" borderId="3" xfId="0" applyFont="1" applyFill="1" applyBorder="1"/>
    <xf numFmtId="0" fontId="0" fillId="0" borderId="0" xfId="0" applyAlignment="1">
      <alignment horizontal="right"/>
    </xf>
    <xf numFmtId="0" fontId="0" fillId="0" borderId="5" xfId="0" applyBorder="1"/>
    <xf numFmtId="164" fontId="7" fillId="0" borderId="5" xfId="0" applyNumberFormat="1" applyFont="1" applyBorder="1"/>
    <xf numFmtId="164" fontId="0" fillId="0" borderId="5" xfId="0" applyNumberFormat="1" applyBorder="1"/>
    <xf numFmtId="0" fontId="7" fillId="0" borderId="5" xfId="0" applyFont="1" applyBorder="1"/>
    <xf numFmtId="0" fontId="5" fillId="4" borderId="5" xfId="0" applyFont="1" applyFill="1" applyBorder="1"/>
    <xf numFmtId="0" fontId="6" fillId="5" borderId="5" xfId="0" applyFont="1" applyFill="1" applyBorder="1"/>
    <xf numFmtId="164" fontId="10" fillId="0" borderId="0" xfId="0" applyNumberFormat="1" applyFont="1"/>
    <xf numFmtId="10" fontId="0" fillId="4" borderId="0" xfId="1" applyNumberFormat="1" applyFont="1" applyFill="1"/>
    <xf numFmtId="0" fontId="5" fillId="4" borderId="1" xfId="0" applyFont="1" applyFill="1" applyBorder="1"/>
    <xf numFmtId="165" fontId="0" fillId="0" borderId="0" xfId="0" applyNumberFormat="1"/>
    <xf numFmtId="166" fontId="0" fillId="0" borderId="5" xfId="0" applyNumberFormat="1" applyBorder="1" applyAlignment="1">
      <alignment horizontal="right"/>
    </xf>
    <xf numFmtId="0" fontId="5" fillId="4" borderId="7" xfId="0" applyFont="1" applyFill="1" applyBorder="1"/>
    <xf numFmtId="2" fontId="0" fillId="0" borderId="0" xfId="1" applyNumberFormat="1" applyFont="1"/>
    <xf numFmtId="0" fontId="5" fillId="6" borderId="8" xfId="0" applyFont="1" applyFill="1" applyBorder="1"/>
    <xf numFmtId="0" fontId="5" fillId="4" borderId="10" xfId="0" applyFont="1" applyFill="1" applyBorder="1"/>
    <xf numFmtId="0" fontId="5" fillId="4" borderId="11" xfId="0" applyFont="1" applyFill="1" applyBorder="1"/>
    <xf numFmtId="0" fontId="0" fillId="10" borderId="5" xfId="0" applyFill="1" applyBorder="1" applyAlignment="1">
      <alignment horizontal="center" vertical="center" wrapText="1"/>
    </xf>
    <xf numFmtId="0" fontId="0" fillId="10" borderId="5" xfId="0" applyFill="1" applyBorder="1" applyAlignment="1">
      <alignment horizontal="left" vertical="center" wrapText="1"/>
    </xf>
    <xf numFmtId="167" fontId="0" fillId="10" borderId="5" xfId="2" applyNumberFormat="1" applyFont="1" applyFill="1" applyBorder="1" applyAlignment="1">
      <alignment horizontal="center" vertical="center" wrapText="1"/>
    </xf>
    <xf numFmtId="0" fontId="0" fillId="0" borderId="5" xfId="0" applyBorder="1" applyAlignment="1">
      <alignment wrapText="1"/>
    </xf>
    <xf numFmtId="0" fontId="0" fillId="0" borderId="5" xfId="0" applyBorder="1" applyAlignment="1">
      <alignment horizontal="left" vertical="center" wrapText="1"/>
    </xf>
    <xf numFmtId="0" fontId="0" fillId="0" borderId="5" xfId="0" applyBorder="1" applyAlignment="1">
      <alignment horizontal="center" wrapText="1"/>
    </xf>
    <xf numFmtId="168" fontId="0" fillId="0" borderId="5" xfId="0" applyNumberFormat="1" applyBorder="1" applyAlignment="1">
      <alignment wrapText="1"/>
    </xf>
    <xf numFmtId="168" fontId="0" fillId="0" borderId="5" xfId="2" applyNumberFormat="1" applyFont="1" applyBorder="1" applyAlignment="1">
      <alignment wrapText="1"/>
    </xf>
    <xf numFmtId="0" fontId="11" fillId="0" borderId="5" xfId="0" applyFont="1" applyBorder="1" applyAlignment="1">
      <alignment horizontal="center" wrapText="1"/>
    </xf>
    <xf numFmtId="1" fontId="0" fillId="0" borderId="5" xfId="0" applyNumberFormat="1" applyBorder="1" applyAlignment="1">
      <alignment horizontal="center" wrapText="1"/>
    </xf>
    <xf numFmtId="1" fontId="0" fillId="0" borderId="5" xfId="0" applyNumberFormat="1" applyBorder="1" applyAlignment="1">
      <alignment horizontal="right" wrapText="1"/>
    </xf>
    <xf numFmtId="169" fontId="0" fillId="0" borderId="5" xfId="0" applyNumberFormat="1" applyBorder="1" applyAlignment="1">
      <alignment wrapText="1"/>
    </xf>
    <xf numFmtId="168" fontId="0" fillId="0" borderId="5" xfId="2" applyNumberFormat="1" applyFont="1" applyFill="1" applyBorder="1" applyAlignment="1">
      <alignment wrapText="1"/>
    </xf>
    <xf numFmtId="0" fontId="0" fillId="12" borderId="5" xfId="0" applyFill="1" applyBorder="1" applyAlignment="1">
      <alignment horizontal="center" vertical="center" wrapText="1"/>
    </xf>
    <xf numFmtId="0" fontId="0" fillId="12" borderId="5" xfId="0" applyFill="1" applyBorder="1" applyAlignment="1">
      <alignment horizontal="left" vertical="center" wrapText="1"/>
    </xf>
    <xf numFmtId="0" fontId="0" fillId="12" borderId="5" xfId="0" applyFill="1" applyBorder="1" applyAlignment="1">
      <alignment horizontal="center" wrapText="1"/>
    </xf>
    <xf numFmtId="0" fontId="0" fillId="12" borderId="5" xfId="0" applyFill="1" applyBorder="1" applyAlignment="1">
      <alignment wrapText="1"/>
    </xf>
    <xf numFmtId="170" fontId="0" fillId="12" borderId="5" xfId="0" applyNumberFormat="1" applyFill="1" applyBorder="1" applyAlignment="1">
      <alignment wrapText="1"/>
    </xf>
    <xf numFmtId="168" fontId="0" fillId="12" borderId="5" xfId="0" applyNumberFormat="1" applyFill="1" applyBorder="1" applyAlignment="1">
      <alignment wrapText="1"/>
    </xf>
    <xf numFmtId="0" fontId="0" fillId="10" borderId="5" xfId="0" applyFill="1" applyBorder="1"/>
    <xf numFmtId="0" fontId="0" fillId="10" borderId="5" xfId="0" applyFill="1" applyBorder="1" applyAlignment="1">
      <alignment horizontal="center" vertical="center"/>
    </xf>
    <xf numFmtId="0" fontId="0" fillId="10" borderId="5" xfId="0" applyFill="1" applyBorder="1" applyAlignment="1">
      <alignment wrapText="1"/>
    </xf>
    <xf numFmtId="0" fontId="0" fillId="10" borderId="5" xfId="0" applyFill="1" applyBorder="1" applyAlignment="1">
      <alignment horizontal="left" vertical="center"/>
    </xf>
    <xf numFmtId="167" fontId="0" fillId="10" borderId="5" xfId="2" applyNumberFormat="1" applyFont="1" applyFill="1" applyBorder="1"/>
    <xf numFmtId="0" fontId="0" fillId="0" borderId="0" xfId="0" applyAlignment="1">
      <alignment horizontal="center" vertical="center"/>
    </xf>
    <xf numFmtId="0" fontId="0" fillId="0" borderId="0" xfId="0" applyAlignment="1">
      <alignment horizontal="left" vertical="center"/>
    </xf>
    <xf numFmtId="167" fontId="0" fillId="0" borderId="0" xfId="2" applyNumberFormat="1" applyFont="1"/>
    <xf numFmtId="0" fontId="2" fillId="0" borderId="5" xfId="0" applyFont="1" applyBorder="1"/>
    <xf numFmtId="167" fontId="2" fillId="0" borderId="0" xfId="2" applyNumberFormat="1" applyFont="1"/>
    <xf numFmtId="0" fontId="2" fillId="0" borderId="5" xfId="0" applyFont="1" applyBorder="1" applyAlignment="1">
      <alignment wrapText="1"/>
    </xf>
    <xf numFmtId="167" fontId="2" fillId="0" borderId="5" xfId="2" applyNumberFormat="1" applyFont="1" applyBorder="1"/>
    <xf numFmtId="167" fontId="2" fillId="0" borderId="5" xfId="0" applyNumberFormat="1" applyFont="1" applyBorder="1" applyAlignment="1">
      <alignment horizontal="center" vertical="center"/>
    </xf>
    <xf numFmtId="43" fontId="2" fillId="0" borderId="5" xfId="0" applyNumberFormat="1" applyFont="1" applyBorder="1" applyAlignment="1">
      <alignment horizontal="center" vertical="center"/>
    </xf>
    <xf numFmtId="43" fontId="2" fillId="0" borderId="5" xfId="0" applyNumberFormat="1" applyFont="1" applyBorder="1"/>
    <xf numFmtId="164" fontId="12" fillId="13" borderId="15" xfId="0" applyNumberFormat="1" applyFont="1" applyFill="1" applyBorder="1"/>
    <xf numFmtId="0" fontId="12" fillId="13" borderId="15" xfId="0" applyFont="1" applyFill="1" applyBorder="1"/>
    <xf numFmtId="43" fontId="0" fillId="0" borderId="0" xfId="2" applyFont="1"/>
    <xf numFmtId="43" fontId="0" fillId="0" borderId="0" xfId="2" applyFont="1" applyAlignment="1">
      <alignment horizontal="right"/>
    </xf>
    <xf numFmtId="0" fontId="5" fillId="6" borderId="21" xfId="0" applyFont="1" applyFill="1" applyBorder="1"/>
    <xf numFmtId="0" fontId="5" fillId="6" borderId="22" xfId="0" applyFont="1" applyFill="1" applyBorder="1"/>
    <xf numFmtId="0" fontId="0" fillId="0" borderId="5" xfId="0" applyBorder="1" applyAlignment="1">
      <alignment horizontal="center" vertical="center" wrapText="1"/>
    </xf>
    <xf numFmtId="0" fontId="5" fillId="9" borderId="8" xfId="0" applyFont="1" applyFill="1" applyBorder="1"/>
    <xf numFmtId="0" fontId="1" fillId="0" borderId="0" xfId="0" applyFont="1" applyAlignment="1">
      <alignment horizontal="left" vertical="center"/>
    </xf>
    <xf numFmtId="9" fontId="0" fillId="0" borderId="0" xfId="0" applyNumberFormat="1"/>
    <xf numFmtId="167" fontId="0" fillId="0" borderId="0" xfId="0" applyNumberFormat="1"/>
    <xf numFmtId="169" fontId="0" fillId="0" borderId="0" xfId="0" applyNumberFormat="1"/>
    <xf numFmtId="169" fontId="0" fillId="11" borderId="5" xfId="0" applyNumberFormat="1" applyFill="1" applyBorder="1" applyAlignment="1">
      <alignment wrapText="1"/>
    </xf>
    <xf numFmtId="0" fontId="0" fillId="0" borderId="0" xfId="0" applyAlignment="1">
      <alignment vertical="center"/>
    </xf>
    <xf numFmtId="0" fontId="3" fillId="0" borderId="0" xfId="0" applyFont="1" applyAlignment="1">
      <alignment vertical="center"/>
    </xf>
    <xf numFmtId="0" fontId="2" fillId="0" borderId="0" xfId="0" applyFont="1" applyAlignment="1">
      <alignment vertical="center"/>
    </xf>
    <xf numFmtId="44" fontId="0" fillId="0" borderId="0" xfId="3" applyFont="1"/>
    <xf numFmtId="165" fontId="0" fillId="14" borderId="0" xfId="3" applyNumberFormat="1" applyFont="1" applyFill="1" applyBorder="1"/>
    <xf numFmtId="0" fontId="0" fillId="14" borderId="0" xfId="0" applyFill="1"/>
    <xf numFmtId="165" fontId="7" fillId="0" borderId="0" xfId="0" applyNumberFormat="1" applyFont="1"/>
    <xf numFmtId="165" fontId="0" fillId="0" borderId="0" xfId="0" applyNumberFormat="1" applyAlignment="1">
      <alignment horizontal="right"/>
    </xf>
    <xf numFmtId="0" fontId="7" fillId="0" borderId="0" xfId="0" applyFont="1" applyAlignment="1">
      <alignment vertical="center"/>
    </xf>
    <xf numFmtId="171" fontId="0" fillId="0" borderId="0" xfId="0" applyNumberFormat="1"/>
    <xf numFmtId="171" fontId="1" fillId="0" borderId="0" xfId="0" applyNumberFormat="1" applyFont="1"/>
    <xf numFmtId="171" fontId="0" fillId="0" borderId="0" xfId="2" applyNumberFormat="1" applyFont="1" applyAlignment="1">
      <alignment horizontal="right"/>
    </xf>
    <xf numFmtId="0" fontId="5" fillId="6" borderId="30" xfId="0" applyFont="1" applyFill="1" applyBorder="1"/>
    <xf numFmtId="0" fontId="5" fillId="6" borderId="31" xfId="0" applyFont="1" applyFill="1" applyBorder="1"/>
    <xf numFmtId="165" fontId="0" fillId="0" borderId="5" xfId="0" applyNumberFormat="1" applyBorder="1"/>
    <xf numFmtId="9" fontId="0" fillId="0" borderId="5" xfId="1" applyFont="1" applyBorder="1"/>
    <xf numFmtId="171" fontId="0" fillId="0" borderId="5" xfId="0" applyNumberFormat="1" applyBorder="1"/>
    <xf numFmtId="171" fontId="6" fillId="5" borderId="3" xfId="0" applyNumberFormat="1" applyFont="1" applyFill="1" applyBorder="1"/>
    <xf numFmtId="43" fontId="1" fillId="0" borderId="0" xfId="2" applyFont="1" applyAlignment="1">
      <alignment horizontal="right"/>
    </xf>
    <xf numFmtId="9" fontId="0" fillId="0" borderId="5" xfId="0" applyNumberFormat="1" applyBorder="1"/>
    <xf numFmtId="0" fontId="0" fillId="0" borderId="0" xfId="0" applyAlignment="1">
      <alignment vertical="center" wrapText="1"/>
    </xf>
    <xf numFmtId="164" fontId="13" fillId="0" borderId="5" xfId="0" applyNumberFormat="1" applyFont="1" applyBorder="1"/>
    <xf numFmtId="0" fontId="13" fillId="0" borderId="5" xfId="0" applyFont="1" applyBorder="1"/>
    <xf numFmtId="165" fontId="5" fillId="4" borderId="5" xfId="0" applyNumberFormat="1" applyFont="1" applyFill="1" applyBorder="1"/>
    <xf numFmtId="9" fontId="5" fillId="4" borderId="5" xfId="1" applyFont="1" applyFill="1" applyBorder="1"/>
    <xf numFmtId="164" fontId="0" fillId="0" borderId="0" xfId="0" applyNumberFormat="1" applyAlignment="1">
      <alignment horizontal="right"/>
    </xf>
    <xf numFmtId="0" fontId="7" fillId="0" borderId="0" xfId="0" applyFont="1" applyAlignment="1">
      <alignment horizontal="right"/>
    </xf>
    <xf numFmtId="43" fontId="4" fillId="0" borderId="0" xfId="2" applyFont="1" applyAlignment="1">
      <alignment horizontal="right"/>
    </xf>
    <xf numFmtId="165" fontId="1" fillId="0" borderId="0" xfId="2" applyNumberFormat="1" applyFont="1" applyAlignment="1">
      <alignment horizontal="right"/>
    </xf>
    <xf numFmtId="0" fontId="15" fillId="11" borderId="35" xfId="0" applyFont="1" applyFill="1" applyBorder="1" applyAlignment="1">
      <alignment horizontal="left" vertical="center"/>
    </xf>
    <xf numFmtId="0" fontId="16" fillId="11" borderId="37" xfId="0" applyFont="1" applyFill="1" applyBorder="1" applyAlignment="1" applyProtection="1">
      <alignment vertical="top"/>
      <protection locked="0"/>
    </xf>
    <xf numFmtId="0" fontId="13" fillId="0" borderId="0" xfId="0" applyFont="1"/>
    <xf numFmtId="164" fontId="0" fillId="0" borderId="0" xfId="0" applyNumberFormat="1" applyAlignment="1">
      <alignment horizontal="left"/>
    </xf>
    <xf numFmtId="0" fontId="3" fillId="9" borderId="0" xfId="0" applyFont="1" applyFill="1"/>
    <xf numFmtId="0" fontId="0" fillId="9" borderId="0" xfId="0" applyFill="1"/>
    <xf numFmtId="164" fontId="1" fillId="15" borderId="2" xfId="0" applyNumberFormat="1" applyFont="1" applyFill="1" applyBorder="1"/>
    <xf numFmtId="0" fontId="3" fillId="15" borderId="0" xfId="0" applyFont="1" applyFill="1"/>
    <xf numFmtId="0" fontId="0" fillId="15" borderId="0" xfId="0" applyFill="1"/>
    <xf numFmtId="167" fontId="7" fillId="0" borderId="0" xfId="0" applyNumberFormat="1" applyFont="1"/>
    <xf numFmtId="167" fontId="0" fillId="0" borderId="5" xfId="2" applyNumberFormat="1" applyFont="1" applyBorder="1"/>
    <xf numFmtId="14" fontId="0" fillId="0" borderId="0" xfId="0" applyNumberFormat="1"/>
    <xf numFmtId="0" fontId="3" fillId="2" borderId="0" xfId="0" applyFont="1" applyFill="1"/>
    <xf numFmtId="0" fontId="0" fillId="2" borderId="0" xfId="0" applyFill="1"/>
    <xf numFmtId="10" fontId="0" fillId="16" borderId="0" xfId="1" applyNumberFormat="1" applyFont="1" applyFill="1"/>
    <xf numFmtId="1" fontId="5" fillId="16" borderId="7" xfId="0" applyNumberFormat="1" applyFont="1" applyFill="1" applyBorder="1"/>
    <xf numFmtId="3" fontId="5" fillId="16" borderId="10" xfId="0" applyNumberFormat="1" applyFont="1" applyFill="1" applyBorder="1"/>
    <xf numFmtId="9" fontId="0" fillId="4" borderId="5" xfId="0" applyNumberFormat="1" applyFill="1" applyBorder="1"/>
    <xf numFmtId="10" fontId="0" fillId="17" borderId="5" xfId="0" applyNumberFormat="1" applyFill="1" applyBorder="1"/>
    <xf numFmtId="0" fontId="13" fillId="14" borderId="0" xfId="0" applyFont="1" applyFill="1" applyAlignment="1">
      <alignment vertical="center"/>
    </xf>
    <xf numFmtId="0" fontId="13" fillId="14" borderId="0" xfId="0" applyFont="1" applyFill="1" applyAlignment="1">
      <alignment wrapText="1"/>
    </xf>
    <xf numFmtId="0" fontId="13" fillId="14" borderId="0" xfId="0" applyFont="1" applyFill="1"/>
    <xf numFmtId="167" fontId="0" fillId="14" borderId="0" xfId="2" applyNumberFormat="1" applyFont="1" applyFill="1" applyBorder="1"/>
    <xf numFmtId="165" fontId="0" fillId="16" borderId="0" xfId="0" applyNumberFormat="1" applyFill="1"/>
    <xf numFmtId="0" fontId="0" fillId="14" borderId="0" xfId="0" applyFill="1" applyAlignment="1">
      <alignment vertical="center"/>
    </xf>
    <xf numFmtId="0" fontId="13" fillId="14" borderId="0" xfId="0" applyFont="1" applyFill="1" applyAlignment="1">
      <alignment vertical="center" wrapText="1"/>
    </xf>
    <xf numFmtId="165" fontId="0" fillId="14" borderId="0" xfId="3" applyNumberFormat="1" applyFont="1" applyFill="1" applyBorder="1" applyAlignment="1">
      <alignment vertical="center"/>
    </xf>
    <xf numFmtId="167" fontId="0" fillId="14" borderId="0" xfId="2" applyNumberFormat="1" applyFont="1" applyFill="1" applyBorder="1" applyAlignment="1">
      <alignment vertical="center"/>
    </xf>
    <xf numFmtId="0" fontId="0" fillId="14" borderId="24" xfId="0" applyFill="1" applyBorder="1" applyAlignment="1">
      <alignment vertical="center"/>
    </xf>
    <xf numFmtId="165" fontId="0" fillId="14" borderId="24" xfId="3" applyNumberFormat="1" applyFont="1" applyFill="1" applyBorder="1" applyAlignment="1">
      <alignment vertical="center"/>
    </xf>
    <xf numFmtId="0" fontId="0" fillId="14" borderId="24" xfId="0" applyFill="1" applyBorder="1" applyAlignment="1">
      <alignment vertical="center" wrapText="1"/>
    </xf>
    <xf numFmtId="0" fontId="0" fillId="14" borderId="0" xfId="0" applyFill="1" applyAlignment="1">
      <alignment vertical="center" wrapText="1"/>
    </xf>
    <xf numFmtId="165" fontId="0" fillId="16" borderId="24" xfId="0" applyNumberFormat="1" applyFill="1" applyBorder="1" applyAlignment="1">
      <alignment vertical="center"/>
    </xf>
    <xf numFmtId="165" fontId="0" fillId="16" borderId="0" xfId="0" applyNumberFormat="1" applyFill="1" applyAlignment="1">
      <alignment vertical="center"/>
    </xf>
    <xf numFmtId="165" fontId="0" fillId="14" borderId="24" xfId="3" applyNumberFormat="1" applyFont="1" applyFill="1" applyBorder="1" applyAlignment="1">
      <alignment vertical="center" wrapText="1"/>
    </xf>
    <xf numFmtId="165" fontId="0" fillId="16" borderId="24" xfId="0" applyNumberFormat="1" applyFill="1" applyBorder="1" applyAlignment="1">
      <alignment vertical="center" wrapText="1"/>
    </xf>
    <xf numFmtId="165" fontId="0" fillId="14" borderId="0" xfId="3" applyNumberFormat="1" applyFont="1" applyFill="1" applyBorder="1" applyAlignment="1">
      <alignment vertical="center" wrapText="1"/>
    </xf>
    <xf numFmtId="165" fontId="0" fillId="16" borderId="0" xfId="0" applyNumberFormat="1" applyFill="1" applyAlignment="1">
      <alignment vertical="center" wrapText="1"/>
    </xf>
    <xf numFmtId="0" fontId="7" fillId="0" borderId="38" xfId="0" applyFont="1" applyBorder="1"/>
    <xf numFmtId="171" fontId="0" fillId="16" borderId="0" xfId="2" applyNumberFormat="1" applyFont="1" applyFill="1"/>
    <xf numFmtId="171" fontId="0" fillId="14" borderId="0" xfId="3" applyNumberFormat="1" applyFont="1" applyFill="1"/>
    <xf numFmtId="171" fontId="7" fillId="2" borderId="25" xfId="2" applyNumberFormat="1" applyFont="1" applyFill="1" applyBorder="1"/>
    <xf numFmtId="171" fontId="7" fillId="2" borderId="26" xfId="2" applyNumberFormat="1" applyFont="1" applyFill="1" applyBorder="1"/>
    <xf numFmtId="171" fontId="0" fillId="2" borderId="18" xfId="0" applyNumberFormat="1" applyFill="1" applyBorder="1"/>
    <xf numFmtId="171" fontId="0" fillId="2" borderId="0" xfId="0" applyNumberFormat="1" applyFill="1"/>
    <xf numFmtId="166" fontId="0" fillId="14" borderId="0" xfId="0" applyNumberFormat="1" applyFill="1"/>
    <xf numFmtId="165" fontId="0" fillId="16" borderId="40" xfId="0" applyNumberFormat="1" applyFill="1" applyBorder="1" applyAlignment="1">
      <alignment vertical="center"/>
    </xf>
    <xf numFmtId="165" fontId="0" fillId="16" borderId="39" xfId="0" applyNumberFormat="1" applyFill="1" applyBorder="1" applyAlignment="1">
      <alignment vertical="center"/>
    </xf>
    <xf numFmtId="165" fontId="0" fillId="16" borderId="40" xfId="0" applyNumberFormat="1" applyFill="1" applyBorder="1" applyAlignment="1">
      <alignment vertical="center" wrapText="1"/>
    </xf>
    <xf numFmtId="165" fontId="0" fillId="16" borderId="39" xfId="0" applyNumberFormat="1" applyFill="1" applyBorder="1" applyAlignment="1">
      <alignment vertical="center" wrapText="1"/>
    </xf>
    <xf numFmtId="165" fontId="0" fillId="0" borderId="39" xfId="0" applyNumberFormat="1" applyBorder="1"/>
    <xf numFmtId="0" fontId="0" fillId="0" borderId="39" xfId="0" applyBorder="1"/>
    <xf numFmtId="165" fontId="7" fillId="2" borderId="0" xfId="0" applyNumberFormat="1" applyFont="1" applyFill="1"/>
    <xf numFmtId="165" fontId="7" fillId="2" borderId="39" xfId="0" applyNumberFormat="1" applyFont="1" applyFill="1" applyBorder="1"/>
    <xf numFmtId="171" fontId="7" fillId="2" borderId="0" xfId="0" applyNumberFormat="1" applyFont="1" applyFill="1"/>
    <xf numFmtId="0" fontId="7" fillId="2" borderId="0" xfId="0" applyFont="1" applyFill="1"/>
    <xf numFmtId="171" fontId="0" fillId="16" borderId="0" xfId="0" applyNumberFormat="1" applyFill="1" applyAlignment="1">
      <alignment vertical="center"/>
    </xf>
    <xf numFmtId="0" fontId="0" fillId="16" borderId="0" xfId="0" applyFill="1"/>
    <xf numFmtId="171" fontId="0" fillId="16" borderId="0" xfId="0" applyNumberFormat="1" applyFill="1" applyAlignment="1">
      <alignment horizontal="right"/>
    </xf>
    <xf numFmtId="171" fontId="7" fillId="16" borderId="0" xfId="0" applyNumberFormat="1" applyFont="1" applyFill="1" applyAlignment="1">
      <alignment horizontal="right"/>
    </xf>
    <xf numFmtId="0" fontId="5" fillId="4" borderId="16" xfId="0" applyFont="1" applyFill="1" applyBorder="1" applyAlignment="1">
      <alignment vertical="center"/>
    </xf>
    <xf numFmtId="0" fontId="5" fillId="4" borderId="9" xfId="0" applyFont="1" applyFill="1" applyBorder="1" applyAlignment="1">
      <alignment vertical="center"/>
    </xf>
    <xf numFmtId="0" fontId="5" fillId="4" borderId="17" xfId="0" applyFont="1" applyFill="1" applyBorder="1" applyAlignment="1">
      <alignment vertical="center"/>
    </xf>
    <xf numFmtId="172" fontId="0" fillId="16" borderId="6" xfId="0" applyNumberFormat="1" applyFill="1" applyBorder="1" applyAlignment="1">
      <alignment vertical="center"/>
    </xf>
    <xf numFmtId="165" fontId="5" fillId="14" borderId="19" xfId="0" applyNumberFormat="1" applyFont="1" applyFill="1" applyBorder="1" applyAlignment="1">
      <alignment vertical="center"/>
    </xf>
    <xf numFmtId="165" fontId="5" fillId="14" borderId="20" xfId="0" applyNumberFormat="1" applyFont="1" applyFill="1" applyBorder="1" applyAlignment="1">
      <alignment vertical="center"/>
    </xf>
    <xf numFmtId="165" fontId="0" fillId="16" borderId="6" xfId="0" applyNumberFormat="1" applyFill="1" applyBorder="1" applyAlignment="1">
      <alignment vertical="center"/>
    </xf>
    <xf numFmtId="43" fontId="5" fillId="16" borderId="19" xfId="2" applyFont="1" applyFill="1" applyBorder="1" applyAlignment="1">
      <alignment vertical="center"/>
    </xf>
    <xf numFmtId="171" fontId="0" fillId="18" borderId="27" xfId="0" applyNumberFormat="1" applyFill="1" applyBorder="1"/>
    <xf numFmtId="171" fontId="0" fillId="18" borderId="28" xfId="0" applyNumberFormat="1" applyFill="1" applyBorder="1"/>
    <xf numFmtId="171" fontId="0" fillId="18" borderId="29" xfId="0" applyNumberFormat="1" applyFill="1" applyBorder="1"/>
    <xf numFmtId="171" fontId="0" fillId="18" borderId="2" xfId="0" applyNumberFormat="1" applyFill="1" applyBorder="1"/>
    <xf numFmtId="165" fontId="0" fillId="18" borderId="2" xfId="0" applyNumberFormat="1" applyFill="1" applyBorder="1"/>
    <xf numFmtId="165" fontId="13" fillId="2" borderId="0" xfId="0" applyNumberFormat="1" applyFont="1" applyFill="1"/>
    <xf numFmtId="165" fontId="13" fillId="2" borderId="39" xfId="0" applyNumberFormat="1" applyFont="1" applyFill="1" applyBorder="1"/>
    <xf numFmtId="1" fontId="0" fillId="16" borderId="2" xfId="0" applyNumberFormat="1" applyFill="1" applyBorder="1"/>
    <xf numFmtId="171" fontId="0" fillId="14" borderId="0" xfId="2" applyNumberFormat="1" applyFont="1" applyFill="1" applyAlignment="1">
      <alignment horizontal="right"/>
    </xf>
    <xf numFmtId="171" fontId="0" fillId="8" borderId="0" xfId="0" applyNumberFormat="1" applyFill="1"/>
    <xf numFmtId="171" fontId="0" fillId="16" borderId="0" xfId="0" applyNumberFormat="1" applyFill="1"/>
    <xf numFmtId="0" fontId="0" fillId="14" borderId="3" xfId="0" applyFill="1" applyBorder="1"/>
    <xf numFmtId="173" fontId="0" fillId="4" borderId="0" xfId="1" applyNumberFormat="1" applyFont="1" applyFill="1"/>
    <xf numFmtId="0" fontId="1" fillId="8" borderId="0" xfId="0" applyFont="1" applyFill="1"/>
    <xf numFmtId="167" fontId="5" fillId="16" borderId="19" xfId="2" applyNumberFormat="1" applyFont="1" applyFill="1" applyBorder="1" applyAlignment="1">
      <alignment vertical="center"/>
    </xf>
    <xf numFmtId="174" fontId="0" fillId="0" borderId="5" xfId="1" applyNumberFormat="1" applyFont="1" applyBorder="1"/>
    <xf numFmtId="173" fontId="0" fillId="0" borderId="5" xfId="0" applyNumberFormat="1" applyBorder="1"/>
    <xf numFmtId="0" fontId="5" fillId="6" borderId="41" xfId="0" applyFont="1" applyFill="1" applyBorder="1"/>
    <xf numFmtId="0" fontId="0" fillId="0" borderId="0" xfId="0" applyAlignment="1">
      <alignment horizontal="left"/>
    </xf>
    <xf numFmtId="0" fontId="3" fillId="0" borderId="0" xfId="0" applyFont="1" applyAlignment="1">
      <alignment horizontal="left"/>
    </xf>
    <xf numFmtId="0" fontId="3" fillId="7" borderId="0" xfId="0" applyFont="1" applyFill="1" applyAlignment="1">
      <alignment horizontal="left"/>
    </xf>
    <xf numFmtId="0" fontId="13" fillId="0" borderId="0" xfId="0" applyFont="1" applyAlignment="1">
      <alignment horizontal="left"/>
    </xf>
    <xf numFmtId="0" fontId="11" fillId="0" borderId="0" xfId="0" applyFont="1"/>
    <xf numFmtId="1" fontId="0" fillId="0" borderId="5" xfId="0" applyNumberFormat="1" applyBorder="1" applyAlignment="1">
      <alignment wrapText="1"/>
    </xf>
    <xf numFmtId="43" fontId="1" fillId="0" borderId="0" xfId="2" applyFont="1"/>
    <xf numFmtId="171" fontId="0" fillId="16" borderId="0" xfId="2" applyNumberFormat="1" applyFont="1" applyFill="1" applyAlignment="1">
      <alignment horizontal="right"/>
    </xf>
    <xf numFmtId="171" fontId="1" fillId="0" borderId="0" xfId="2" applyNumberFormat="1" applyFont="1" applyAlignment="1">
      <alignment horizontal="right"/>
    </xf>
    <xf numFmtId="175" fontId="0" fillId="4" borderId="0" xfId="0" applyNumberFormat="1" applyFill="1" applyAlignment="1">
      <alignment vertical="center"/>
    </xf>
    <xf numFmtId="0" fontId="5" fillId="6" borderId="43" xfId="0" applyFont="1" applyFill="1" applyBorder="1"/>
    <xf numFmtId="0" fontId="5" fillId="6" borderId="44" xfId="0" applyFont="1" applyFill="1" applyBorder="1"/>
    <xf numFmtId="0" fontId="5" fillId="6" borderId="0" xfId="0" applyFont="1" applyFill="1"/>
    <xf numFmtId="0" fontId="5" fillId="6" borderId="42" xfId="0" applyFont="1" applyFill="1" applyBorder="1"/>
    <xf numFmtId="167" fontId="0" fillId="0" borderId="5" xfId="2" applyNumberFormat="1" applyFont="1" applyFill="1" applyBorder="1"/>
    <xf numFmtId="0" fontId="5" fillId="6" borderId="0" xfId="0" applyFont="1" applyFill="1" applyAlignment="1">
      <alignment wrapText="1"/>
    </xf>
    <xf numFmtId="0" fontId="5" fillId="6" borderId="45" xfId="0" applyFont="1" applyFill="1" applyBorder="1"/>
    <xf numFmtId="0" fontId="5" fillId="6" borderId="46" xfId="0" applyFont="1" applyFill="1" applyBorder="1"/>
    <xf numFmtId="0" fontId="6" fillId="13" borderId="15" xfId="0" applyFont="1" applyFill="1" applyBorder="1"/>
    <xf numFmtId="0" fontId="5" fillId="4" borderId="1" xfId="0" applyFont="1" applyFill="1" applyBorder="1" applyAlignment="1">
      <alignment vertical="center"/>
    </xf>
    <xf numFmtId="171" fontId="5" fillId="4" borderId="1" xfId="0" applyNumberFormat="1" applyFont="1" applyFill="1" applyBorder="1"/>
    <xf numFmtId="171" fontId="6" fillId="13" borderId="15" xfId="0" applyNumberFormat="1" applyFont="1" applyFill="1" applyBorder="1"/>
    <xf numFmtId="1" fontId="5" fillId="4" borderId="1" xfId="0" applyNumberFormat="1" applyFont="1" applyFill="1" applyBorder="1"/>
    <xf numFmtId="1" fontId="6" fillId="13" borderId="15" xfId="0" applyNumberFormat="1" applyFont="1" applyFill="1" applyBorder="1"/>
    <xf numFmtId="0" fontId="17" fillId="0" borderId="0" xfId="0" applyFont="1"/>
    <xf numFmtId="0" fontId="5" fillId="6" borderId="47" xfId="0" applyFont="1" applyFill="1" applyBorder="1"/>
    <xf numFmtId="175" fontId="6" fillId="5" borderId="3" xfId="0" applyNumberFormat="1" applyFont="1" applyFill="1" applyBorder="1" applyAlignment="1">
      <alignment vertical="center"/>
    </xf>
    <xf numFmtId="0" fontId="6" fillId="5" borderId="48" xfId="0" applyFont="1" applyFill="1" applyBorder="1"/>
    <xf numFmtId="0" fontId="6" fillId="5" borderId="49" xfId="0" applyFont="1" applyFill="1" applyBorder="1"/>
    <xf numFmtId="0" fontId="5" fillId="4" borderId="0" xfId="0" applyFont="1" applyFill="1"/>
    <xf numFmtId="171" fontId="6" fillId="13" borderId="50" xfId="0" applyNumberFormat="1" applyFont="1" applyFill="1" applyBorder="1"/>
    <xf numFmtId="171" fontId="6" fillId="5" borderId="48" xfId="0" applyNumberFormat="1" applyFont="1" applyFill="1" applyBorder="1"/>
    <xf numFmtId="0" fontId="6" fillId="5" borderId="51" xfId="0" applyFont="1" applyFill="1" applyBorder="1"/>
    <xf numFmtId="9" fontId="5" fillId="4" borderId="1" xfId="1" applyFont="1" applyFill="1" applyBorder="1"/>
    <xf numFmtId="0" fontId="7" fillId="0" borderId="0" xfId="0" applyFont="1" applyAlignment="1">
      <alignment horizontal="left"/>
    </xf>
    <xf numFmtId="0" fontId="5" fillId="9" borderId="22" xfId="0" applyFont="1" applyFill="1" applyBorder="1"/>
    <xf numFmtId="0" fontId="0" fillId="14" borderId="49" xfId="0" applyFill="1" applyBorder="1"/>
    <xf numFmtId="0" fontId="0" fillId="0" borderId="5" xfId="0" applyBorder="1" applyAlignment="1">
      <alignment vertical="center" wrapText="1"/>
    </xf>
    <xf numFmtId="0" fontId="11" fillId="0" borderId="5" xfId="0" applyFont="1" applyBorder="1" applyAlignment="1">
      <alignment wrapText="1"/>
    </xf>
    <xf numFmtId="1" fontId="6" fillId="5" borderId="3" xfId="0" applyNumberFormat="1" applyFont="1" applyFill="1" applyBorder="1"/>
    <xf numFmtId="1" fontId="0" fillId="0" borderId="0" xfId="0" applyNumberFormat="1" applyAlignment="1">
      <alignment horizontal="left"/>
    </xf>
    <xf numFmtId="171" fontId="0" fillId="0" borderId="0" xfId="2" applyNumberFormat="1" applyFont="1" applyFill="1" applyAlignment="1">
      <alignment horizontal="right"/>
    </xf>
    <xf numFmtId="0" fontId="0" fillId="10" borderId="52" xfId="0" applyFill="1" applyBorder="1" applyAlignment="1">
      <alignment horizontal="center" vertical="center" wrapText="1"/>
    </xf>
    <xf numFmtId="0" fontId="0" fillId="10" borderId="14" xfId="0" applyFill="1" applyBorder="1"/>
    <xf numFmtId="0" fontId="0" fillId="10" borderId="14" xfId="0" applyFill="1" applyBorder="1" applyAlignment="1">
      <alignment horizontal="center" vertical="center"/>
    </xf>
    <xf numFmtId="0" fontId="0" fillId="10" borderId="14" xfId="0" applyFill="1" applyBorder="1" applyAlignment="1">
      <alignment wrapText="1"/>
    </xf>
    <xf numFmtId="0" fontId="0" fillId="10" borderId="14" xfId="0" applyFill="1" applyBorder="1" applyAlignment="1">
      <alignment horizontal="left" vertical="center"/>
    </xf>
    <xf numFmtId="167" fontId="0" fillId="10" borderId="14" xfId="2" applyNumberFormat="1" applyFont="1" applyFill="1" applyBorder="1"/>
    <xf numFmtId="169" fontId="1" fillId="0" borderId="0" xfId="0" applyNumberFormat="1" applyFont="1"/>
    <xf numFmtId="43" fontId="20" fillId="19" borderId="53" xfId="0" applyNumberFormat="1" applyFont="1" applyFill="1" applyBorder="1"/>
    <xf numFmtId="171" fontId="0" fillId="0" borderId="0" xfId="0" applyNumberFormat="1" applyAlignment="1">
      <alignment vertical="center"/>
    </xf>
    <xf numFmtId="173" fontId="20" fillId="20" borderId="53" xfId="1" applyNumberFormat="1" applyFont="1" applyFill="1" applyBorder="1"/>
    <xf numFmtId="171" fontId="7" fillId="2" borderId="0" xfId="0" applyNumberFormat="1" applyFont="1" applyFill="1" applyAlignment="1">
      <alignment vertical="center"/>
    </xf>
    <xf numFmtId="176" fontId="0" fillId="0" borderId="0" xfId="2" applyNumberFormat="1" applyFont="1" applyAlignment="1"/>
    <xf numFmtId="0" fontId="0" fillId="0" borderId="0" xfId="0" applyAlignment="1">
      <alignment horizontal="left" vertical="center" wrapText="1"/>
    </xf>
    <xf numFmtId="0" fontId="14" fillId="11" borderId="32" xfId="0" applyFont="1" applyFill="1" applyBorder="1" applyAlignment="1">
      <alignment horizontal="left" vertical="center"/>
    </xf>
    <xf numFmtId="0" fontId="15" fillId="11" borderId="33" xfId="0" applyFont="1" applyFill="1" applyBorder="1" applyAlignment="1">
      <alignment vertical="center"/>
    </xf>
    <xf numFmtId="0" fontId="15" fillId="11" borderId="34" xfId="0" applyFont="1" applyFill="1" applyBorder="1" applyAlignment="1">
      <alignment vertical="center"/>
    </xf>
    <xf numFmtId="0" fontId="15" fillId="11" borderId="35" xfId="0" applyFont="1" applyFill="1" applyBorder="1" applyAlignment="1">
      <alignment horizontal="left" vertical="center"/>
    </xf>
    <xf numFmtId="0" fontId="15" fillId="11" borderId="33" xfId="0" applyFont="1" applyFill="1" applyBorder="1" applyAlignment="1">
      <alignment horizontal="left" vertical="center"/>
    </xf>
    <xf numFmtId="0" fontId="15" fillId="11" borderId="34" xfId="0" applyFont="1" applyFill="1" applyBorder="1" applyAlignment="1">
      <alignment horizontal="left" vertical="center"/>
    </xf>
    <xf numFmtId="0" fontId="16" fillId="11" borderId="32" xfId="0" applyFont="1" applyFill="1" applyBorder="1" applyAlignment="1" applyProtection="1">
      <alignment horizontal="left" vertical="top"/>
      <protection locked="0"/>
    </xf>
    <xf numFmtId="0" fontId="16" fillId="11" borderId="36" xfId="0" applyFont="1" applyFill="1" applyBorder="1" applyAlignment="1" applyProtection="1">
      <alignment horizontal="left" vertical="top"/>
      <protection locked="0"/>
    </xf>
    <xf numFmtId="0" fontId="16" fillId="11" borderId="37" xfId="0" applyFont="1" applyFill="1" applyBorder="1" applyAlignment="1" applyProtection="1">
      <alignment vertical="top"/>
      <protection locked="0"/>
    </xf>
    <xf numFmtId="0" fontId="16" fillId="11" borderId="32" xfId="0" applyFont="1" applyFill="1" applyBorder="1" applyAlignment="1" applyProtection="1">
      <alignment vertical="top"/>
      <protection locked="0"/>
    </xf>
    <xf numFmtId="0" fontId="16" fillId="11" borderId="36" xfId="0" applyFont="1" applyFill="1" applyBorder="1" applyAlignment="1" applyProtection="1">
      <alignment vertical="top"/>
      <protection locked="0"/>
    </xf>
    <xf numFmtId="14" fontId="16" fillId="11" borderId="37" xfId="0" applyNumberFormat="1" applyFont="1" applyFill="1" applyBorder="1" applyAlignment="1" applyProtection="1">
      <alignment horizontal="center" vertical="top"/>
      <protection locked="0"/>
    </xf>
    <xf numFmtId="14" fontId="16" fillId="11" borderId="32" xfId="0" applyNumberFormat="1" applyFont="1" applyFill="1" applyBorder="1" applyAlignment="1" applyProtection="1">
      <alignment horizontal="center" vertical="top"/>
      <protection locked="0"/>
    </xf>
    <xf numFmtId="0" fontId="5" fillId="6" borderId="45" xfId="0" applyFont="1" applyFill="1" applyBorder="1" applyAlignment="1">
      <alignment horizontal="left" wrapText="1"/>
    </xf>
    <xf numFmtId="0" fontId="5" fillId="6" borderId="0" xfId="0" applyFont="1" applyFill="1" applyAlignment="1">
      <alignment horizontal="left" wrapText="1"/>
    </xf>
    <xf numFmtId="0" fontId="0" fillId="0" borderId="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1" fillId="0" borderId="5" xfId="0" applyFont="1" applyBorder="1" applyAlignment="1">
      <alignment horizontal="center" vertical="center" wrapText="1"/>
    </xf>
    <xf numFmtId="0" fontId="0" fillId="0" borderId="24" xfId="0" applyBorder="1" applyAlignment="1">
      <alignment horizontal="center" wrapText="1"/>
    </xf>
    <xf numFmtId="0" fontId="0" fillId="0" borderId="23" xfId="0" applyBorder="1" applyAlignment="1">
      <alignment horizontal="center" wrapText="1"/>
    </xf>
    <xf numFmtId="0" fontId="0" fillId="0" borderId="24"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0" fillId="0" borderId="0" xfId="0" applyAlignment="1">
      <alignment horizontal="center" wrapText="1"/>
    </xf>
    <xf numFmtId="0" fontId="0" fillId="0" borderId="0" xfId="0" applyAlignment="1">
      <alignment horizontal="center" vertical="center"/>
    </xf>
    <xf numFmtId="0" fontId="0" fillId="0" borderId="23" xfId="0" applyBorder="1" applyAlignment="1">
      <alignment horizontal="center" vertical="center"/>
    </xf>
    <xf numFmtId="0" fontId="7" fillId="0" borderId="0" xfId="0" applyFont="1" applyAlignment="1">
      <alignment horizontal="center"/>
    </xf>
    <xf numFmtId="0" fontId="0" fillId="0" borderId="24" xfId="0" applyBorder="1" applyAlignment="1">
      <alignment horizontal="center" vertical="center"/>
    </xf>
    <xf numFmtId="0" fontId="7" fillId="0" borderId="0" xfId="0" applyFont="1" applyAlignment="1">
      <alignment horizontal="left" wrapText="1"/>
    </xf>
  </cellXfs>
  <cellStyles count="11">
    <cellStyle name="Comma" xfId="2" builtinId="3"/>
    <cellStyle name="Comma 2" xfId="6" xr:uid="{770AE20A-9D1D-4D30-B559-62238B187F01}"/>
    <cellStyle name="Comma 2 2" xfId="10" xr:uid="{EA29BC52-4071-4A21-92E2-774B3180D448}"/>
    <cellStyle name="Comma 2 3" xfId="8" xr:uid="{50501888-8036-42FA-A32D-E1828A38DE1D}"/>
    <cellStyle name="Comma 3" xfId="4" xr:uid="{030417B3-D5A9-4BC7-8D94-ED77A164BEA5}"/>
    <cellStyle name="Comma 4" xfId="7" xr:uid="{33A15A47-5DC5-4E0C-AD41-8F9E5A4A9358}"/>
    <cellStyle name="Currency" xfId="3" builtinId="4"/>
    <cellStyle name="Normal" xfId="0" builtinId="0"/>
    <cellStyle name="Normal 2" xfId="5" xr:uid="{F3C64A17-49B2-449A-A4B9-7BA83D3A2B69}"/>
    <cellStyle name="Normal 2 2" xfId="9" xr:uid="{3EC7C459-9543-4CCC-A894-CD99C038D36F}"/>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Costs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'Improvement timeline'!$D$158</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2-C7EA-42BF-85BE-BF9BDE7EFA0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7EA-42BF-85BE-BF9BDE7EFA0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4-C7EA-42BF-85BE-BF9BDE7EFA0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5-C7EA-42BF-85BE-BF9BDE7EFA0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6-C7EA-42BF-85BE-BF9BDE7EFA0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7-C7EA-42BF-85BE-BF9BDE7EFA07}"/>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8-C7EA-42BF-85BE-BF9BDE7EFA07}"/>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9-C7EA-42BF-85BE-BF9BDE7EFA07}"/>
              </c:ext>
            </c:extLst>
          </c:dPt>
          <c:dLbls>
            <c:dLbl>
              <c:idx val="0"/>
              <c:layout>
                <c:manualLayout>
                  <c:x val="0.26151608037124857"/>
                  <c:y val="0.1726140878857785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7EA-42BF-85BE-BF9BDE7EFA07}"/>
                </c:ext>
              </c:extLst>
            </c:dLbl>
            <c:dLbl>
              <c:idx val="1"/>
              <c:layout>
                <c:manualLayout>
                  <c:x val="9.863956057944552E-2"/>
                  <c:y val="0.319946360696822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7EA-42BF-85BE-BF9BDE7EFA07}"/>
                </c:ext>
              </c:extLst>
            </c:dLbl>
            <c:dLbl>
              <c:idx val="2"/>
              <c:layout>
                <c:manualLayout>
                  <c:x val="7.1055372292489205E-2"/>
                  <c:y val="0.3095205690300565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C7EA-42BF-85BE-BF9BDE7EFA07}"/>
                </c:ext>
              </c:extLst>
            </c:dLbl>
            <c:spPr>
              <a:noFill/>
              <a:ln>
                <a:noFill/>
              </a:ln>
              <a:effectLst/>
            </c:spPr>
            <c:txPr>
              <a:bodyPr rot="0" spcFirstLastPara="1" vertOverflow="overflow" horzOverflow="overflow"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'Improvement timeline'!$C$159:$C$166</c:f>
              <c:strCache>
                <c:ptCount val="8"/>
                <c:pt idx="0">
                  <c:v>Local consultants</c:v>
                </c:pt>
                <c:pt idx="1">
                  <c:v>International consultant</c:v>
                </c:pt>
                <c:pt idx="2">
                  <c:v>Staff Cost </c:v>
                </c:pt>
                <c:pt idx="3">
                  <c:v>Equipment</c:v>
                </c:pt>
                <c:pt idx="4">
                  <c:v>Constuction cost </c:v>
                </c:pt>
                <c:pt idx="5">
                  <c:v>Training, workshops, and conference</c:v>
                </c:pt>
                <c:pt idx="6">
                  <c:v>Travel</c:v>
                </c:pt>
                <c:pt idx="7">
                  <c:v>Professional/ Contractual Services </c:v>
                </c:pt>
              </c:strCache>
            </c:strRef>
          </c:cat>
          <c:val>
            <c:numRef>
              <c:f>'Improvement timeline'!$D$159:$D$166</c:f>
              <c:numCache>
                <c:formatCode>_-[$$-409]* #,##0_ ;_-[$$-409]* \-#,##0\ ;_-[$$-409]* "-"??_ ;_-@_ </c:formatCode>
                <c:ptCount val="8"/>
                <c:pt idx="0">
                  <c:v>1779500</c:v>
                </c:pt>
                <c:pt idx="1">
                  <c:v>1315750</c:v>
                </c:pt>
                <c:pt idx="2">
                  <c:v>902000</c:v>
                </c:pt>
                <c:pt idx="3">
                  <c:v>2782447.5</c:v>
                </c:pt>
                <c:pt idx="4">
                  <c:v>10350756.303338801</c:v>
                </c:pt>
                <c:pt idx="5">
                  <c:v>168950</c:v>
                </c:pt>
                <c:pt idx="6">
                  <c:v>315600</c:v>
                </c:pt>
                <c:pt idx="7">
                  <c:v>950673.91628907819</c:v>
                </c:pt>
              </c:numCache>
            </c:numRef>
          </c:val>
          <c:extLst>
            <c:ext xmlns:c16="http://schemas.microsoft.com/office/drawing/2014/chart" uri="{C3380CC4-5D6E-409C-BE32-E72D297353CC}">
              <c16:uniqueId val="{00000000-C7EA-42BF-85BE-BF9BDE7EFA07}"/>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Cost by Activity</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B7C-49BE-8AB2-0073F390FBC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B7C-49BE-8AB2-0073F390FBC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9CD8-4E67-9578-4B86C446FE2C}"/>
              </c:ext>
            </c:extLst>
          </c:dPt>
          <c:dLbls>
            <c:dLbl>
              <c:idx val="2"/>
              <c:layout>
                <c:manualLayout>
                  <c:x val="-0.25705023567623614"/>
                  <c:y val="0.1277337181773057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8-4E67-9578-4B86C446FE2C}"/>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Summary!$C$8:$E$8</c:f>
              <c:strCache>
                <c:ptCount val="3"/>
                <c:pt idx="0">
                  <c:v>Development and PM costs</c:v>
                </c:pt>
                <c:pt idx="1">
                  <c:v>Construction costs</c:v>
                </c:pt>
                <c:pt idx="2">
                  <c:v>Operational costs</c:v>
                </c:pt>
              </c:strCache>
            </c:strRef>
          </c:cat>
          <c:val>
            <c:numRef>
              <c:f>Summary!$C$44:$E$44</c:f>
              <c:numCache>
                <c:formatCode>_-[$$-409]* #,##0_ ;_-[$$-409]* \-#,##0\ ;_-[$$-409]* "-"??_ ;_-@_ </c:formatCode>
                <c:ptCount val="3"/>
                <c:pt idx="0">
                  <c:v>4361523.9162890781</c:v>
                </c:pt>
                <c:pt idx="1">
                  <c:v>13133203.803338803</c:v>
                </c:pt>
                <c:pt idx="2">
                  <c:v>1070950</c:v>
                </c:pt>
              </c:numCache>
            </c:numRef>
          </c:val>
          <c:extLst>
            <c:ext xmlns:c16="http://schemas.microsoft.com/office/drawing/2014/chart" uri="{C3380CC4-5D6E-409C-BE32-E72D297353CC}">
              <c16:uniqueId val="{00000000-9CD8-4E67-9578-4B86C446FE2C}"/>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Cost per 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numRef>
              <c:f>Summary!$C$50:$G$50</c:f>
              <c:numCache>
                <c:formatCode>General</c:formatCode>
                <c:ptCount val="5"/>
                <c:pt idx="0">
                  <c:v>2023</c:v>
                </c:pt>
                <c:pt idx="1">
                  <c:v>2024</c:v>
                </c:pt>
                <c:pt idx="2">
                  <c:v>2025</c:v>
                </c:pt>
                <c:pt idx="3">
                  <c:v>2026</c:v>
                </c:pt>
                <c:pt idx="4">
                  <c:v>2027</c:v>
                </c:pt>
              </c:numCache>
            </c:numRef>
          </c:cat>
          <c:val>
            <c:numRef>
              <c:f>Summary!$C$53:$G$53</c:f>
              <c:numCache>
                <c:formatCode>_-[$$-409]* #,##0_ ;_-[$$-409]* \-#,##0\ ;_-[$$-409]* "-"??_ ;_-@_ </c:formatCode>
                <c:ptCount val="5"/>
                <c:pt idx="0">
                  <c:v>784583.80323244061</c:v>
                </c:pt>
                <c:pt idx="1">
                  <c:v>1461022.0875509307</c:v>
                </c:pt>
                <c:pt idx="2">
                  <c:v>14238495.265571991</c:v>
                </c:pt>
                <c:pt idx="3">
                  <c:v>1174626.5632725165</c:v>
                </c:pt>
                <c:pt idx="4">
                  <c:v>906950</c:v>
                </c:pt>
              </c:numCache>
            </c:numRef>
          </c:val>
          <c:extLst>
            <c:ext xmlns:c16="http://schemas.microsoft.com/office/drawing/2014/chart" uri="{C3380CC4-5D6E-409C-BE32-E72D297353CC}">
              <c16:uniqueId val="{00000000-FA86-4650-A884-D7A257B6CE48}"/>
            </c:ext>
          </c:extLst>
        </c:ser>
        <c:dLbls>
          <c:showLegendKey val="0"/>
          <c:showVal val="0"/>
          <c:showCatName val="0"/>
          <c:showSerName val="0"/>
          <c:showPercent val="0"/>
          <c:showBubbleSize val="0"/>
        </c:dLbls>
        <c:gapWidth val="219"/>
        <c:overlap val="-27"/>
        <c:axId val="1040959872"/>
        <c:axId val="1040956920"/>
      </c:barChart>
      <c:catAx>
        <c:axId val="1040959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956920"/>
        <c:crosses val="autoZero"/>
        <c:auto val="1"/>
        <c:lblAlgn val="ctr"/>
        <c:lblOffset val="100"/>
        <c:noMultiLvlLbl val="0"/>
      </c:catAx>
      <c:valAx>
        <c:axId val="1040956920"/>
        <c:scaling>
          <c:orientation val="minMax"/>
        </c:scaling>
        <c:delete val="0"/>
        <c:axPos val="l"/>
        <c:majorGridlines>
          <c:spPr>
            <a:ln w="9525" cap="flat" cmpd="sng" algn="ctr">
              <a:solidFill>
                <a:schemeClr val="tx1">
                  <a:lumMod val="15000"/>
                  <a:lumOff val="85000"/>
                </a:schemeClr>
              </a:solidFill>
              <a:round/>
            </a:ln>
            <a:effectLst/>
          </c:spPr>
        </c:majorGridlines>
        <c:numFmt formatCode="_-[$$-409]* #,##0_ ;_-[$$-409]* \-#,##0\ ;_-[$$-409]* &quot;-&quot;??_ ;_-@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959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Cost by Activity with replacement</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7FD-4F1B-80F8-5CCE50FDAEB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7FD-4F1B-80F8-5CCE50FDAEB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7FD-4F1B-80F8-5CCE50FDAEB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7FD-4F1B-80F8-5CCE50FDAEB7}"/>
              </c:ext>
            </c:extLst>
          </c:dPt>
          <c:dLbls>
            <c:dLbl>
              <c:idx val="0"/>
              <c:layout>
                <c:manualLayout>
                  <c:x val="0.10526724291242889"/>
                  <c:y val="0.117230826283289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FD-4F1B-80F8-5CCE50FDAEB7}"/>
                </c:ext>
              </c:extLst>
            </c:dLbl>
            <c:dLbl>
              <c:idx val="2"/>
              <c:layout>
                <c:manualLayout>
                  <c:x val="-0.25705024870019194"/>
                  <c:y val="0.200025387435894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7FD-4F1B-80F8-5CCE50FDAEB7}"/>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Summary!$C$8:$F$8</c:f>
              <c:strCache>
                <c:ptCount val="4"/>
                <c:pt idx="0">
                  <c:v>Development and PM costs</c:v>
                </c:pt>
                <c:pt idx="1">
                  <c:v>Construction costs</c:v>
                </c:pt>
                <c:pt idx="2">
                  <c:v>Operational costs</c:v>
                </c:pt>
                <c:pt idx="3">
                  <c:v>Replacement Cost</c:v>
                </c:pt>
              </c:strCache>
            </c:strRef>
          </c:cat>
          <c:val>
            <c:numRef>
              <c:f>Summary!$C$44:$F$44</c:f>
              <c:numCache>
                <c:formatCode>_-[$$-409]* #,##0_ ;_-[$$-409]* \-#,##0\ ;_-[$$-409]* "-"??_ ;_-@_ </c:formatCode>
                <c:ptCount val="4"/>
                <c:pt idx="0">
                  <c:v>4361523.9162890781</c:v>
                </c:pt>
                <c:pt idx="1">
                  <c:v>13133203.803338803</c:v>
                </c:pt>
                <c:pt idx="2">
                  <c:v>1070950</c:v>
                </c:pt>
                <c:pt idx="3">
                  <c:v>2238094.8000000003</c:v>
                </c:pt>
              </c:numCache>
            </c:numRef>
          </c:val>
          <c:extLst>
            <c:ext xmlns:c16="http://schemas.microsoft.com/office/drawing/2014/chart" uri="{C3380CC4-5D6E-409C-BE32-E72D297353CC}">
              <c16:uniqueId val="{0000000A-B7FD-4F1B-80F8-5CCE50FDAEB7}"/>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Difference in annual operation costs between</a:t>
            </a:r>
            <a:r>
              <a:rPr lang="en-GB" baseline="0"/>
              <a:t> solar street lights and traditional street lighting</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9411854927268729E-2"/>
          <c:y val="9.3693734191868841E-2"/>
          <c:w val="0.91995983304496654"/>
          <c:h val="0.75758074230488615"/>
        </c:manualLayout>
      </c:layout>
      <c:barChart>
        <c:barDir val="col"/>
        <c:grouping val="clustered"/>
        <c:varyColors val="0"/>
        <c:ser>
          <c:idx val="18"/>
          <c:order val="0"/>
          <c:tx>
            <c:strRef>
              <c:f>'Solar street lighting'!$C$54</c:f>
              <c:strCache>
                <c:ptCount val="1"/>
                <c:pt idx="0">
                  <c:v>Cost difference between solar and constant high electricity</c:v>
                </c:pt>
              </c:strCache>
            </c:strRef>
          </c:tx>
          <c:spPr>
            <a:solidFill>
              <a:schemeClr val="accent1">
                <a:lumMod val="80000"/>
              </a:schemeClr>
            </a:solidFill>
            <a:ln>
              <a:noFill/>
            </a:ln>
            <a:effectLst/>
          </c:spPr>
          <c:invertIfNegative val="0"/>
          <c:cat>
            <c:numRef>
              <c:f>'Solar street lighting'!$D$36:$AQ$36</c:f>
              <c:numCache>
                <c:formatCode>General</c:formatCode>
                <c:ptCount val="40"/>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pt idx="17">
                  <c:v>2040</c:v>
                </c:pt>
                <c:pt idx="18">
                  <c:v>2041</c:v>
                </c:pt>
                <c:pt idx="19">
                  <c:v>2042</c:v>
                </c:pt>
                <c:pt idx="20">
                  <c:v>2043</c:v>
                </c:pt>
                <c:pt idx="21">
                  <c:v>2044</c:v>
                </c:pt>
                <c:pt idx="22">
                  <c:v>2045</c:v>
                </c:pt>
                <c:pt idx="23">
                  <c:v>2046</c:v>
                </c:pt>
                <c:pt idx="24">
                  <c:v>2047</c:v>
                </c:pt>
                <c:pt idx="25">
                  <c:v>2048</c:v>
                </c:pt>
                <c:pt idx="26">
                  <c:v>2049</c:v>
                </c:pt>
                <c:pt idx="27">
                  <c:v>2050</c:v>
                </c:pt>
                <c:pt idx="28">
                  <c:v>2051</c:v>
                </c:pt>
                <c:pt idx="29">
                  <c:v>2052</c:v>
                </c:pt>
                <c:pt idx="30">
                  <c:v>2053</c:v>
                </c:pt>
                <c:pt idx="31">
                  <c:v>2054</c:v>
                </c:pt>
                <c:pt idx="32">
                  <c:v>2055</c:v>
                </c:pt>
                <c:pt idx="33">
                  <c:v>2056</c:v>
                </c:pt>
                <c:pt idx="34">
                  <c:v>2057</c:v>
                </c:pt>
                <c:pt idx="35">
                  <c:v>2058</c:v>
                </c:pt>
                <c:pt idx="36">
                  <c:v>2059</c:v>
                </c:pt>
                <c:pt idx="37">
                  <c:v>2060</c:v>
                </c:pt>
                <c:pt idx="38">
                  <c:v>2061</c:v>
                </c:pt>
                <c:pt idx="39">
                  <c:v>2062</c:v>
                </c:pt>
              </c:numCache>
            </c:numRef>
          </c:cat>
          <c:val>
            <c:numRef>
              <c:f>'Solar street lighting'!$D$54:$AQ$54</c:f>
              <c:numCache>
                <c:formatCode>_-[$$-409]* #,##0_ ;_-[$$-409]* \-#,##0\ ;_-[$$-409]* "-"??_ ;_-@_ </c:formatCode>
                <c:ptCount val="40"/>
                <c:pt idx="0">
                  <c:v>-23878.725672680754</c:v>
                </c:pt>
                <c:pt idx="1">
                  <c:v>-23878.725672680754</c:v>
                </c:pt>
                <c:pt idx="2">
                  <c:v>-23878.725672680754</c:v>
                </c:pt>
                <c:pt idx="3">
                  <c:v>-23878.725672680754</c:v>
                </c:pt>
                <c:pt idx="4">
                  <c:v>-23878.725672680754</c:v>
                </c:pt>
                <c:pt idx="5">
                  <c:v>-23878.725672680754</c:v>
                </c:pt>
                <c:pt idx="6">
                  <c:v>-23878.725672680754</c:v>
                </c:pt>
                <c:pt idx="7">
                  <c:v>-23878.725672680754</c:v>
                </c:pt>
                <c:pt idx="8">
                  <c:v>-23878.725672680754</c:v>
                </c:pt>
                <c:pt idx="9">
                  <c:v>-23878.725672680754</c:v>
                </c:pt>
                <c:pt idx="10">
                  <c:v>-23878.725672680754</c:v>
                </c:pt>
                <c:pt idx="11">
                  <c:v>-23878.725672680754</c:v>
                </c:pt>
                <c:pt idx="12">
                  <c:v>-23878.725672680754</c:v>
                </c:pt>
                <c:pt idx="13">
                  <c:v>-23878.725672680754</c:v>
                </c:pt>
                <c:pt idx="14">
                  <c:v>-23878.725672680754</c:v>
                </c:pt>
                <c:pt idx="15">
                  <c:v>-23878.725672680754</c:v>
                </c:pt>
                <c:pt idx="16">
                  <c:v>-23878.725672680754</c:v>
                </c:pt>
                <c:pt idx="17">
                  <c:v>-23878.725672680754</c:v>
                </c:pt>
                <c:pt idx="18">
                  <c:v>-23878.725672680754</c:v>
                </c:pt>
                <c:pt idx="19">
                  <c:v>-23878.725672680754</c:v>
                </c:pt>
                <c:pt idx="20">
                  <c:v>-23878.725672680754</c:v>
                </c:pt>
                <c:pt idx="21">
                  <c:v>-23878.725672680754</c:v>
                </c:pt>
                <c:pt idx="22">
                  <c:v>-23878.725672680754</c:v>
                </c:pt>
                <c:pt idx="23">
                  <c:v>-23878.725672680754</c:v>
                </c:pt>
                <c:pt idx="24">
                  <c:v>-23878.725672680754</c:v>
                </c:pt>
                <c:pt idx="25">
                  <c:v>-23878.725672680754</c:v>
                </c:pt>
                <c:pt idx="26">
                  <c:v>-23878.725672680754</c:v>
                </c:pt>
                <c:pt idx="27">
                  <c:v>-23878.725672680754</c:v>
                </c:pt>
                <c:pt idx="28">
                  <c:v>-23878.725672680754</c:v>
                </c:pt>
                <c:pt idx="29">
                  <c:v>-23878.725672680754</c:v>
                </c:pt>
                <c:pt idx="30">
                  <c:v>-23878.725672680754</c:v>
                </c:pt>
                <c:pt idx="31">
                  <c:v>-23878.725672680754</c:v>
                </c:pt>
                <c:pt idx="32">
                  <c:v>-23878.725672680754</c:v>
                </c:pt>
                <c:pt idx="33">
                  <c:v>-23878.725672680754</c:v>
                </c:pt>
                <c:pt idx="34">
                  <c:v>-23878.725672680754</c:v>
                </c:pt>
                <c:pt idx="35">
                  <c:v>-23878.725672680754</c:v>
                </c:pt>
                <c:pt idx="36">
                  <c:v>-23878.725672680754</c:v>
                </c:pt>
                <c:pt idx="37">
                  <c:v>-23878.725672680754</c:v>
                </c:pt>
                <c:pt idx="38">
                  <c:v>-23878.725672680754</c:v>
                </c:pt>
                <c:pt idx="39">
                  <c:v>-23878.725672680754</c:v>
                </c:pt>
              </c:numCache>
            </c:numRef>
          </c:val>
          <c:extLst>
            <c:ext xmlns:c16="http://schemas.microsoft.com/office/drawing/2014/chart" uri="{C3380CC4-5D6E-409C-BE32-E72D297353CC}">
              <c16:uniqueId val="{00000012-2C03-4FCA-8803-8D35BD9DC77D}"/>
            </c:ext>
          </c:extLst>
        </c:ser>
        <c:ser>
          <c:idx val="19"/>
          <c:order val="1"/>
          <c:tx>
            <c:strRef>
              <c:f>'Solar street lighting'!$C$55</c:f>
              <c:strCache>
                <c:ptCount val="1"/>
                <c:pt idx="0">
                  <c:v>Cost difference between solar and constant low electricity</c:v>
                </c:pt>
              </c:strCache>
            </c:strRef>
          </c:tx>
          <c:spPr>
            <a:solidFill>
              <a:schemeClr val="accent2">
                <a:lumMod val="80000"/>
              </a:schemeClr>
            </a:solidFill>
            <a:ln>
              <a:noFill/>
            </a:ln>
            <a:effectLst/>
          </c:spPr>
          <c:invertIfNegative val="0"/>
          <c:cat>
            <c:numRef>
              <c:f>'Solar street lighting'!$D$36:$AQ$36</c:f>
              <c:numCache>
                <c:formatCode>General</c:formatCode>
                <c:ptCount val="40"/>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pt idx="17">
                  <c:v>2040</c:v>
                </c:pt>
                <c:pt idx="18">
                  <c:v>2041</c:v>
                </c:pt>
                <c:pt idx="19">
                  <c:v>2042</c:v>
                </c:pt>
                <c:pt idx="20">
                  <c:v>2043</c:v>
                </c:pt>
                <c:pt idx="21">
                  <c:v>2044</c:v>
                </c:pt>
                <c:pt idx="22">
                  <c:v>2045</c:v>
                </c:pt>
                <c:pt idx="23">
                  <c:v>2046</c:v>
                </c:pt>
                <c:pt idx="24">
                  <c:v>2047</c:v>
                </c:pt>
                <c:pt idx="25">
                  <c:v>2048</c:v>
                </c:pt>
                <c:pt idx="26">
                  <c:v>2049</c:v>
                </c:pt>
                <c:pt idx="27">
                  <c:v>2050</c:v>
                </c:pt>
                <c:pt idx="28">
                  <c:v>2051</c:v>
                </c:pt>
                <c:pt idx="29">
                  <c:v>2052</c:v>
                </c:pt>
                <c:pt idx="30">
                  <c:v>2053</c:v>
                </c:pt>
                <c:pt idx="31">
                  <c:v>2054</c:v>
                </c:pt>
                <c:pt idx="32">
                  <c:v>2055</c:v>
                </c:pt>
                <c:pt idx="33">
                  <c:v>2056</c:v>
                </c:pt>
                <c:pt idx="34">
                  <c:v>2057</c:v>
                </c:pt>
                <c:pt idx="35">
                  <c:v>2058</c:v>
                </c:pt>
                <c:pt idx="36">
                  <c:v>2059</c:v>
                </c:pt>
                <c:pt idx="37">
                  <c:v>2060</c:v>
                </c:pt>
                <c:pt idx="38">
                  <c:v>2061</c:v>
                </c:pt>
                <c:pt idx="39">
                  <c:v>2062</c:v>
                </c:pt>
              </c:numCache>
            </c:numRef>
          </c:cat>
          <c:val>
            <c:numRef>
              <c:f>'Solar street lighting'!$D$55:$AQ$55</c:f>
              <c:numCache>
                <c:formatCode>_-[$$-409]* #,##0_ ;_-[$$-409]* \-#,##0\ ;_-[$$-409]* "-"??_ ;_-@_ </c:formatCode>
                <c:ptCount val="40"/>
                <c:pt idx="0">
                  <c:v>-43114.824764190547</c:v>
                </c:pt>
                <c:pt idx="1">
                  <c:v>-43114.824764190547</c:v>
                </c:pt>
                <c:pt idx="2">
                  <c:v>-43114.824764190547</c:v>
                </c:pt>
                <c:pt idx="3">
                  <c:v>-43114.824764190547</c:v>
                </c:pt>
                <c:pt idx="4">
                  <c:v>-43114.824764190547</c:v>
                </c:pt>
                <c:pt idx="5">
                  <c:v>-43114.824764190547</c:v>
                </c:pt>
                <c:pt idx="6">
                  <c:v>-43114.824764190547</c:v>
                </c:pt>
                <c:pt idx="7">
                  <c:v>-43114.824764190547</c:v>
                </c:pt>
                <c:pt idx="8">
                  <c:v>-43114.824764190547</c:v>
                </c:pt>
                <c:pt idx="9">
                  <c:v>-43114.824764190547</c:v>
                </c:pt>
                <c:pt idx="10">
                  <c:v>-43114.824764190547</c:v>
                </c:pt>
                <c:pt idx="11">
                  <c:v>-43114.824764190547</c:v>
                </c:pt>
                <c:pt idx="12">
                  <c:v>-43114.824764190547</c:v>
                </c:pt>
                <c:pt idx="13">
                  <c:v>-43114.824764190547</c:v>
                </c:pt>
                <c:pt idx="14">
                  <c:v>-43114.824764190547</c:v>
                </c:pt>
                <c:pt idx="15">
                  <c:v>-43114.824764190547</c:v>
                </c:pt>
                <c:pt idx="16">
                  <c:v>-43114.824764190547</c:v>
                </c:pt>
                <c:pt idx="17">
                  <c:v>-43114.824764190547</c:v>
                </c:pt>
                <c:pt idx="18">
                  <c:v>-43114.824764190547</c:v>
                </c:pt>
                <c:pt idx="19">
                  <c:v>-43114.824764190547</c:v>
                </c:pt>
                <c:pt idx="20">
                  <c:v>-43114.824764190547</c:v>
                </c:pt>
                <c:pt idx="21">
                  <c:v>-43114.824764190547</c:v>
                </c:pt>
                <c:pt idx="22">
                  <c:v>-43114.824764190547</c:v>
                </c:pt>
                <c:pt idx="23">
                  <c:v>-43114.824764190547</c:v>
                </c:pt>
                <c:pt idx="24">
                  <c:v>-43114.824764190547</c:v>
                </c:pt>
                <c:pt idx="25">
                  <c:v>-43114.824764190547</c:v>
                </c:pt>
                <c:pt idx="26">
                  <c:v>-43114.824764190547</c:v>
                </c:pt>
                <c:pt idx="27">
                  <c:v>-43114.824764190547</c:v>
                </c:pt>
                <c:pt idx="28">
                  <c:v>-43114.824764190547</c:v>
                </c:pt>
                <c:pt idx="29">
                  <c:v>-43114.824764190547</c:v>
                </c:pt>
                <c:pt idx="30">
                  <c:v>-43114.824764190547</c:v>
                </c:pt>
                <c:pt idx="31">
                  <c:v>-43114.824764190547</c:v>
                </c:pt>
                <c:pt idx="32">
                  <c:v>-43114.824764190547</c:v>
                </c:pt>
                <c:pt idx="33">
                  <c:v>-43114.824764190547</c:v>
                </c:pt>
                <c:pt idx="34">
                  <c:v>-43114.824764190547</c:v>
                </c:pt>
                <c:pt idx="35">
                  <c:v>-43114.824764190547</c:v>
                </c:pt>
                <c:pt idx="36">
                  <c:v>-43114.824764190547</c:v>
                </c:pt>
                <c:pt idx="37">
                  <c:v>-43114.824764190547</c:v>
                </c:pt>
                <c:pt idx="38">
                  <c:v>-43114.824764190547</c:v>
                </c:pt>
                <c:pt idx="39">
                  <c:v>-43114.824764190547</c:v>
                </c:pt>
              </c:numCache>
            </c:numRef>
          </c:val>
          <c:extLst>
            <c:ext xmlns:c16="http://schemas.microsoft.com/office/drawing/2014/chart" uri="{C3380CC4-5D6E-409C-BE32-E72D297353CC}">
              <c16:uniqueId val="{00000013-2C03-4FCA-8803-8D35BD9DC77D}"/>
            </c:ext>
          </c:extLst>
        </c:ser>
        <c:ser>
          <c:idx val="20"/>
          <c:order val="2"/>
          <c:tx>
            <c:strRef>
              <c:f>'Solar street lighting'!$C$56</c:f>
              <c:strCache>
                <c:ptCount val="1"/>
                <c:pt idx="0">
                  <c:v>Cost difference between solar and increasing high electricity</c:v>
                </c:pt>
              </c:strCache>
            </c:strRef>
          </c:tx>
          <c:spPr>
            <a:solidFill>
              <a:schemeClr val="accent3">
                <a:lumMod val="80000"/>
              </a:schemeClr>
            </a:solidFill>
            <a:ln>
              <a:noFill/>
            </a:ln>
            <a:effectLst/>
          </c:spPr>
          <c:invertIfNegative val="0"/>
          <c:cat>
            <c:numRef>
              <c:f>'Solar street lighting'!$D$36:$AQ$36</c:f>
              <c:numCache>
                <c:formatCode>General</c:formatCode>
                <c:ptCount val="40"/>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pt idx="17">
                  <c:v>2040</c:v>
                </c:pt>
                <c:pt idx="18">
                  <c:v>2041</c:v>
                </c:pt>
                <c:pt idx="19">
                  <c:v>2042</c:v>
                </c:pt>
                <c:pt idx="20">
                  <c:v>2043</c:v>
                </c:pt>
                <c:pt idx="21">
                  <c:v>2044</c:v>
                </c:pt>
                <c:pt idx="22">
                  <c:v>2045</c:v>
                </c:pt>
                <c:pt idx="23">
                  <c:v>2046</c:v>
                </c:pt>
                <c:pt idx="24">
                  <c:v>2047</c:v>
                </c:pt>
                <c:pt idx="25">
                  <c:v>2048</c:v>
                </c:pt>
                <c:pt idx="26">
                  <c:v>2049</c:v>
                </c:pt>
                <c:pt idx="27">
                  <c:v>2050</c:v>
                </c:pt>
                <c:pt idx="28">
                  <c:v>2051</c:v>
                </c:pt>
                <c:pt idx="29">
                  <c:v>2052</c:v>
                </c:pt>
                <c:pt idx="30">
                  <c:v>2053</c:v>
                </c:pt>
                <c:pt idx="31">
                  <c:v>2054</c:v>
                </c:pt>
                <c:pt idx="32">
                  <c:v>2055</c:v>
                </c:pt>
                <c:pt idx="33">
                  <c:v>2056</c:v>
                </c:pt>
                <c:pt idx="34">
                  <c:v>2057</c:v>
                </c:pt>
                <c:pt idx="35">
                  <c:v>2058</c:v>
                </c:pt>
                <c:pt idx="36">
                  <c:v>2059</c:v>
                </c:pt>
                <c:pt idx="37">
                  <c:v>2060</c:v>
                </c:pt>
                <c:pt idx="38">
                  <c:v>2061</c:v>
                </c:pt>
                <c:pt idx="39">
                  <c:v>2062</c:v>
                </c:pt>
              </c:numCache>
            </c:numRef>
          </c:cat>
          <c:val>
            <c:numRef>
              <c:f>'Solar street lighting'!$D$56:$AQ$56</c:f>
              <c:numCache>
                <c:formatCode>_-[$$-409]* #,##0_ ;_-[$$-409]* \-#,##0\ ;_-[$$-409]* "-"??_ ;_-@_ </c:formatCode>
                <c:ptCount val="40"/>
                <c:pt idx="0">
                  <c:v>-23878.725672680754</c:v>
                </c:pt>
                <c:pt idx="1">
                  <c:v>-21810.265619768405</c:v>
                </c:pt>
                <c:pt idx="2">
                  <c:v>-19597.013363152189</c:v>
                </c:pt>
                <c:pt idx="3">
                  <c:v>-17228.833448572841</c:v>
                </c:pt>
                <c:pt idx="4">
                  <c:v>-14694.880939972951</c:v>
                </c:pt>
                <c:pt idx="5">
                  <c:v>-11983.551755771041</c:v>
                </c:pt>
                <c:pt idx="6">
                  <c:v>-9082.4295286750275</c:v>
                </c:pt>
                <c:pt idx="7">
                  <c:v>-5978.2287456822669</c:v>
                </c:pt>
                <c:pt idx="8">
                  <c:v>-2656.7339078800287</c:v>
                </c:pt>
                <c:pt idx="9">
                  <c:v>897.26556856838579</c:v>
                </c:pt>
                <c:pt idx="10">
                  <c:v>4700.0450083681644</c:v>
                </c:pt>
                <c:pt idx="11">
                  <c:v>8769.0190089539537</c:v>
                </c:pt>
                <c:pt idx="12">
                  <c:v>13122.821189580704</c:v>
                </c:pt>
                <c:pt idx="13">
                  <c:v>17781.389522851357</c:v>
                </c:pt>
                <c:pt idx="14">
                  <c:v>22766.057639450955</c:v>
                </c:pt>
                <c:pt idx="15">
                  <c:v>28099.652524212535</c:v>
                </c:pt>
                <c:pt idx="16">
                  <c:v>33806.599050907404</c:v>
                </c:pt>
                <c:pt idx="17">
                  <c:v>39913.031834470923</c:v>
                </c:pt>
                <c:pt idx="18">
                  <c:v>46446.914912883891</c:v>
                </c:pt>
                <c:pt idx="19">
                  <c:v>53438.16980678578</c:v>
                </c:pt>
                <c:pt idx="20">
                  <c:v>60918.812543260763</c:v>
                </c:pt>
                <c:pt idx="21">
                  <c:v>68923.100271289019</c:v>
                </c:pt>
                <c:pt idx="22">
                  <c:v>77487.68814027925</c:v>
                </c:pt>
                <c:pt idx="23">
                  <c:v>86651.797160098809</c:v>
                </c:pt>
                <c:pt idx="24">
                  <c:v>96457.393811305737</c:v>
                </c:pt>
                <c:pt idx="25">
                  <c:v>106949.38222809714</c:v>
                </c:pt>
                <c:pt idx="26">
                  <c:v>118175.80983406394</c:v>
                </c:pt>
                <c:pt idx="27">
                  <c:v>130188.08737244846</c:v>
                </c:pt>
                <c:pt idx="28">
                  <c:v>143041.22433851979</c:v>
                </c:pt>
                <c:pt idx="29">
                  <c:v>156794.08089221618</c:v>
                </c:pt>
                <c:pt idx="30">
                  <c:v>171509.63740467129</c:v>
                </c:pt>
                <c:pt idx="31">
                  <c:v>187255.28287299833</c:v>
                </c:pt>
                <c:pt idx="32">
                  <c:v>204103.1235241082</c:v>
                </c:pt>
                <c:pt idx="33">
                  <c:v>222130.31302079576</c:v>
                </c:pt>
                <c:pt idx="34">
                  <c:v>241419.40578225144</c:v>
                </c:pt>
                <c:pt idx="35">
                  <c:v>262058.73503700912</c:v>
                </c:pt>
                <c:pt idx="36">
                  <c:v>284142.81733959971</c:v>
                </c:pt>
                <c:pt idx="37">
                  <c:v>307772.78540337173</c:v>
                </c:pt>
                <c:pt idx="38">
                  <c:v>333056.85123160778</c:v>
                </c:pt>
                <c:pt idx="39">
                  <c:v>360110.80166782031</c:v>
                </c:pt>
              </c:numCache>
            </c:numRef>
          </c:val>
          <c:extLst>
            <c:ext xmlns:c16="http://schemas.microsoft.com/office/drawing/2014/chart" uri="{C3380CC4-5D6E-409C-BE32-E72D297353CC}">
              <c16:uniqueId val="{00000014-2C03-4FCA-8803-8D35BD9DC77D}"/>
            </c:ext>
          </c:extLst>
        </c:ser>
        <c:ser>
          <c:idx val="21"/>
          <c:order val="3"/>
          <c:tx>
            <c:strRef>
              <c:f>'Solar street lighting'!$C$57</c:f>
              <c:strCache>
                <c:ptCount val="1"/>
                <c:pt idx="0">
                  <c:v>Cost difference between solar and increasing low electricity</c:v>
                </c:pt>
              </c:strCache>
            </c:strRef>
          </c:tx>
          <c:spPr>
            <a:solidFill>
              <a:schemeClr val="accent4">
                <a:lumMod val="80000"/>
              </a:schemeClr>
            </a:solidFill>
            <a:ln>
              <a:noFill/>
            </a:ln>
            <a:effectLst/>
          </c:spPr>
          <c:invertIfNegative val="0"/>
          <c:cat>
            <c:numRef>
              <c:f>'Solar street lighting'!$D$36:$AQ$36</c:f>
              <c:numCache>
                <c:formatCode>General</c:formatCode>
                <c:ptCount val="40"/>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pt idx="17">
                  <c:v>2040</c:v>
                </c:pt>
                <c:pt idx="18">
                  <c:v>2041</c:v>
                </c:pt>
                <c:pt idx="19">
                  <c:v>2042</c:v>
                </c:pt>
                <c:pt idx="20">
                  <c:v>2043</c:v>
                </c:pt>
                <c:pt idx="21">
                  <c:v>2044</c:v>
                </c:pt>
                <c:pt idx="22">
                  <c:v>2045</c:v>
                </c:pt>
                <c:pt idx="23">
                  <c:v>2046</c:v>
                </c:pt>
                <c:pt idx="24">
                  <c:v>2047</c:v>
                </c:pt>
                <c:pt idx="25">
                  <c:v>2048</c:v>
                </c:pt>
                <c:pt idx="26">
                  <c:v>2049</c:v>
                </c:pt>
                <c:pt idx="27">
                  <c:v>2050</c:v>
                </c:pt>
                <c:pt idx="28">
                  <c:v>2051</c:v>
                </c:pt>
                <c:pt idx="29">
                  <c:v>2052</c:v>
                </c:pt>
                <c:pt idx="30">
                  <c:v>2053</c:v>
                </c:pt>
                <c:pt idx="31">
                  <c:v>2054</c:v>
                </c:pt>
                <c:pt idx="32">
                  <c:v>2055</c:v>
                </c:pt>
                <c:pt idx="33">
                  <c:v>2056</c:v>
                </c:pt>
                <c:pt idx="34">
                  <c:v>2057</c:v>
                </c:pt>
                <c:pt idx="35">
                  <c:v>2058</c:v>
                </c:pt>
                <c:pt idx="36">
                  <c:v>2059</c:v>
                </c:pt>
                <c:pt idx="37">
                  <c:v>2060</c:v>
                </c:pt>
                <c:pt idx="38">
                  <c:v>2061</c:v>
                </c:pt>
                <c:pt idx="39">
                  <c:v>2062</c:v>
                </c:pt>
              </c:numCache>
            </c:numRef>
          </c:cat>
          <c:val>
            <c:numRef>
              <c:f>'Solar street lighting'!$D$57:$AQ$57</c:f>
              <c:numCache>
                <c:formatCode>_-[$$-409]* #,##0_ ;_-[$$-409]* \-#,##0\ ;_-[$$-409]* "-"??_ ;_-@_ </c:formatCode>
                <c:ptCount val="40"/>
                <c:pt idx="0">
                  <c:v>-43114.824764190547</c:v>
                </c:pt>
                <c:pt idx="1">
                  <c:v>-42392.891647683886</c:v>
                </c:pt>
                <c:pt idx="2">
                  <c:v>-41620.423213021757</c:v>
                </c:pt>
                <c:pt idx="3">
                  <c:v>-40793.881987933273</c:v>
                </c:pt>
                <c:pt idx="4">
                  <c:v>-39909.482877088609</c:v>
                </c:pt>
                <c:pt idx="5">
                  <c:v>-38963.175828484804</c:v>
                </c:pt>
                <c:pt idx="6">
                  <c:v>-37950.627286478746</c:v>
                </c:pt>
                <c:pt idx="7">
                  <c:v>-36867.200346532249</c:v>
                </c:pt>
                <c:pt idx="8">
                  <c:v>-35707.933520789506</c:v>
                </c:pt>
                <c:pt idx="9">
                  <c:v>-34467.518017244773</c:v>
                </c:pt>
                <c:pt idx="10">
                  <c:v>-33140.27342845191</c:v>
                </c:pt>
                <c:pt idx="11">
                  <c:v>-31720.121718443537</c:v>
                </c:pt>
                <c:pt idx="12">
                  <c:v>-30200.559388734589</c:v>
                </c:pt>
                <c:pt idx="13">
                  <c:v>-28574.627695946008</c:v>
                </c:pt>
                <c:pt idx="14">
                  <c:v>-26834.880784662222</c:v>
                </c:pt>
                <c:pt idx="15">
                  <c:v>-24973.351589588579</c:v>
                </c:pt>
                <c:pt idx="16">
                  <c:v>-22981.515350859787</c:v>
                </c:pt>
                <c:pt idx="17">
                  <c:v>-20850.250575419966</c:v>
                </c:pt>
                <c:pt idx="18">
                  <c:v>-18569.797265699359</c:v>
                </c:pt>
                <c:pt idx="19">
                  <c:v>-16129.712224298317</c:v>
                </c:pt>
                <c:pt idx="20">
                  <c:v>-13518.821229999201</c:v>
                </c:pt>
                <c:pt idx="21">
                  <c:v>-10725.167866099146</c:v>
                </c:pt>
                <c:pt idx="22">
                  <c:v>-7735.9587667260785</c:v>
                </c:pt>
                <c:pt idx="23">
                  <c:v>-4537.5050303969037</c:v>
                </c:pt>
                <c:pt idx="24">
                  <c:v>-1115.159532524689</c:v>
                </c:pt>
                <c:pt idx="25">
                  <c:v>2546.7501501985971</c:v>
                </c:pt>
                <c:pt idx="26">
                  <c:v>6464.9935107124911</c:v>
                </c:pt>
                <c:pt idx="27">
                  <c:v>10657.51390646238</c:v>
                </c:pt>
                <c:pt idx="28">
                  <c:v>15143.510729914735</c:v>
                </c:pt>
                <c:pt idx="29">
                  <c:v>19943.527331008765</c:v>
                </c:pt>
                <c:pt idx="30">
                  <c:v>25079.545094179382</c:v>
                </c:pt>
                <c:pt idx="31">
                  <c:v>30575.084100771957</c:v>
                </c:pt>
                <c:pt idx="32">
                  <c:v>36455.310837825979</c:v>
                </c:pt>
                <c:pt idx="33">
                  <c:v>42747.153446473807</c:v>
                </c:pt>
                <c:pt idx="34">
                  <c:v>49479.425037726949</c:v>
                </c:pt>
                <c:pt idx="35">
                  <c:v>56682.955640367887</c:v>
                </c:pt>
                <c:pt idx="36">
                  <c:v>64390.733385193613</c:v>
                </c:pt>
                <c:pt idx="37">
                  <c:v>72638.055572157187</c:v>
                </c:pt>
                <c:pt idx="38">
                  <c:v>81462.690312208186</c:v>
                </c:pt>
                <c:pt idx="39">
                  <c:v>90905.049484062751</c:v>
                </c:pt>
              </c:numCache>
            </c:numRef>
          </c:val>
          <c:extLst>
            <c:ext xmlns:c16="http://schemas.microsoft.com/office/drawing/2014/chart" uri="{C3380CC4-5D6E-409C-BE32-E72D297353CC}">
              <c16:uniqueId val="{00000015-2C03-4FCA-8803-8D35BD9DC77D}"/>
            </c:ext>
          </c:extLst>
        </c:ser>
        <c:dLbls>
          <c:showLegendKey val="0"/>
          <c:showVal val="0"/>
          <c:showCatName val="0"/>
          <c:showSerName val="0"/>
          <c:showPercent val="0"/>
          <c:showBubbleSize val="0"/>
        </c:dLbls>
        <c:gapWidth val="219"/>
        <c:overlap val="-27"/>
        <c:axId val="1270839200"/>
        <c:axId val="1270838216"/>
      </c:barChart>
      <c:catAx>
        <c:axId val="127083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0838216"/>
        <c:crosses val="autoZero"/>
        <c:auto val="1"/>
        <c:lblAlgn val="ctr"/>
        <c:lblOffset val="100"/>
        <c:noMultiLvlLbl val="0"/>
      </c:catAx>
      <c:valAx>
        <c:axId val="12708382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GB" sz="1200"/>
                  <a:t>Difference in annual</a:t>
                </a:r>
                <a:r>
                  <a:rPr lang="en-GB" sz="1200" baseline="0"/>
                  <a:t> operational ocsts</a:t>
                </a:r>
              </a:p>
              <a:p>
                <a:pPr>
                  <a:defRPr sz="1200"/>
                </a:pPr>
                <a:endParaRPr lang="en-GB" sz="120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_-[$$-409]* #,##0_ ;_-[$$-409]* \-#,##0\ ;_-[$$-409]* &quot;-&quot;??_ ;_-@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0839200"/>
        <c:crosses val="autoZero"/>
        <c:crossBetween val="between"/>
      </c:valAx>
      <c:spPr>
        <a:noFill/>
        <a:ln>
          <a:noFill/>
        </a:ln>
        <a:effectLst/>
      </c:spPr>
    </c:plotArea>
    <c:legend>
      <c:legendPos val="b"/>
      <c:layout>
        <c:manualLayout>
          <c:xMode val="edge"/>
          <c:yMode val="edge"/>
          <c:x val="6.3550002289994231E-2"/>
          <c:y val="0.89114617354712389"/>
          <c:w val="0.92217671482146646"/>
          <c:h val="9.3697115610298295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Sensitivity Testing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'Sensitivity Analysis'!$W$11</c:f>
              <c:strCache>
                <c:ptCount val="1"/>
                <c:pt idx="0">
                  <c:v>Development and management costs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xVal>
            <c:numRef>
              <c:f>'Sensitivity Analysis'!$V$12:$V$24</c:f>
              <c:numCache>
                <c:formatCode>0%</c:formatCode>
                <c:ptCount val="13"/>
                <c:pt idx="0">
                  <c:v>-0.3</c:v>
                </c:pt>
                <c:pt idx="1">
                  <c:v>-0.25</c:v>
                </c:pt>
                <c:pt idx="2">
                  <c:v>-0.2</c:v>
                </c:pt>
                <c:pt idx="3">
                  <c:v>-0.15</c:v>
                </c:pt>
                <c:pt idx="4">
                  <c:v>-0.1</c:v>
                </c:pt>
                <c:pt idx="5">
                  <c:v>-0.05</c:v>
                </c:pt>
                <c:pt idx="6">
                  <c:v>0</c:v>
                </c:pt>
                <c:pt idx="7">
                  <c:v>0.05</c:v>
                </c:pt>
                <c:pt idx="8">
                  <c:v>0.1</c:v>
                </c:pt>
                <c:pt idx="9">
                  <c:v>0.15</c:v>
                </c:pt>
                <c:pt idx="10">
                  <c:v>0.2</c:v>
                </c:pt>
                <c:pt idx="11">
                  <c:v>0.25</c:v>
                </c:pt>
                <c:pt idx="12">
                  <c:v>0.3</c:v>
                </c:pt>
              </c:numCache>
            </c:numRef>
          </c:xVal>
          <c:yVal>
            <c:numRef>
              <c:f>'Sensitivity Analysis'!$W$12:$W$24</c:f>
              <c:numCache>
                <c:formatCode>0%</c:formatCode>
                <c:ptCount val="13"/>
                <c:pt idx="0">
                  <c:v>-7.047721040118049E-2</c:v>
                </c:pt>
                <c:pt idx="1">
                  <c:v>-5.8731008667650242E-2</c:v>
                </c:pt>
                <c:pt idx="2">
                  <c:v>-4.6984806934120216E-2</c:v>
                </c:pt>
                <c:pt idx="3">
                  <c:v>-3.5238605200590079E-2</c:v>
                </c:pt>
                <c:pt idx="4">
                  <c:v>-2.3492403467060052E-2</c:v>
                </c:pt>
                <c:pt idx="5">
                  <c:v>-1.1746201733530026E-2</c:v>
                </c:pt>
                <c:pt idx="6">
                  <c:v>0</c:v>
                </c:pt>
                <c:pt idx="7">
                  <c:v>1.1746201733530137E-2</c:v>
                </c:pt>
                <c:pt idx="8">
                  <c:v>2.3492403467060274E-2</c:v>
                </c:pt>
                <c:pt idx="9">
                  <c:v>3.5238605200590412E-2</c:v>
                </c:pt>
                <c:pt idx="10">
                  <c:v>4.6984806934120327E-2</c:v>
                </c:pt>
                <c:pt idx="11">
                  <c:v>5.8731008667650686E-2</c:v>
                </c:pt>
                <c:pt idx="12">
                  <c:v>7.0477210401180601E-2</c:v>
                </c:pt>
              </c:numCache>
            </c:numRef>
          </c:yVal>
          <c:smooth val="0"/>
          <c:extLst>
            <c:ext xmlns:c16="http://schemas.microsoft.com/office/drawing/2014/chart" uri="{C3380CC4-5D6E-409C-BE32-E72D297353CC}">
              <c16:uniqueId val="{00000000-9656-4BED-BC7B-7397F9708895}"/>
            </c:ext>
          </c:extLst>
        </c:ser>
        <c:ser>
          <c:idx val="1"/>
          <c:order val="1"/>
          <c:tx>
            <c:strRef>
              <c:f>'Sensitivity Analysis'!$X$11</c:f>
              <c:strCache>
                <c:ptCount val="1"/>
                <c:pt idx="0">
                  <c:v>Construction Cost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xVal>
            <c:numRef>
              <c:f>'Sensitivity Analysis'!$V$12:$V$24</c:f>
              <c:numCache>
                <c:formatCode>0%</c:formatCode>
                <c:ptCount val="13"/>
                <c:pt idx="0">
                  <c:v>-0.3</c:v>
                </c:pt>
                <c:pt idx="1">
                  <c:v>-0.25</c:v>
                </c:pt>
                <c:pt idx="2">
                  <c:v>-0.2</c:v>
                </c:pt>
                <c:pt idx="3">
                  <c:v>-0.15</c:v>
                </c:pt>
                <c:pt idx="4">
                  <c:v>-0.1</c:v>
                </c:pt>
                <c:pt idx="5">
                  <c:v>-0.05</c:v>
                </c:pt>
                <c:pt idx="6">
                  <c:v>0</c:v>
                </c:pt>
                <c:pt idx="7">
                  <c:v>0.05</c:v>
                </c:pt>
                <c:pt idx="8">
                  <c:v>0.1</c:v>
                </c:pt>
                <c:pt idx="9">
                  <c:v>0.15</c:v>
                </c:pt>
                <c:pt idx="10">
                  <c:v>0.2</c:v>
                </c:pt>
                <c:pt idx="11">
                  <c:v>0.25</c:v>
                </c:pt>
                <c:pt idx="12">
                  <c:v>0.3</c:v>
                </c:pt>
              </c:numCache>
            </c:numRef>
          </c:xVal>
          <c:yVal>
            <c:numRef>
              <c:f>'Sensitivity Analysis'!$X$12:$X$24</c:f>
              <c:numCache>
                <c:formatCode>0%</c:formatCode>
                <c:ptCount val="13"/>
                <c:pt idx="0">
                  <c:v>-0.21221746927322027</c:v>
                </c:pt>
                <c:pt idx="1">
                  <c:v>-0.17684789106101684</c:v>
                </c:pt>
                <c:pt idx="2">
                  <c:v>-0.1414783128488134</c:v>
                </c:pt>
                <c:pt idx="3">
                  <c:v>-0.10610873463661008</c:v>
                </c:pt>
                <c:pt idx="4">
                  <c:v>-7.0739156424406646E-2</c:v>
                </c:pt>
                <c:pt idx="5">
                  <c:v>-3.5369578212203323E-2</c:v>
                </c:pt>
                <c:pt idx="6">
                  <c:v>0</c:v>
                </c:pt>
                <c:pt idx="7">
                  <c:v>3.5369578212203434E-2</c:v>
                </c:pt>
                <c:pt idx="8">
                  <c:v>7.073915642440709E-2</c:v>
                </c:pt>
                <c:pt idx="9">
                  <c:v>0.10610873463661008</c:v>
                </c:pt>
                <c:pt idx="10">
                  <c:v>0.14147831284881374</c:v>
                </c:pt>
                <c:pt idx="11">
                  <c:v>0.17684789106101695</c:v>
                </c:pt>
                <c:pt idx="12">
                  <c:v>0.21221746927322038</c:v>
                </c:pt>
              </c:numCache>
            </c:numRef>
          </c:yVal>
          <c:smooth val="0"/>
          <c:extLst>
            <c:ext xmlns:c16="http://schemas.microsoft.com/office/drawing/2014/chart" uri="{C3380CC4-5D6E-409C-BE32-E72D297353CC}">
              <c16:uniqueId val="{00000001-9656-4BED-BC7B-7397F9708895}"/>
            </c:ext>
          </c:extLst>
        </c:ser>
        <c:ser>
          <c:idx val="2"/>
          <c:order val="2"/>
          <c:tx>
            <c:strRef>
              <c:f>'Sensitivity Analysis'!$Y$11</c:f>
              <c:strCache>
                <c:ptCount val="1"/>
                <c:pt idx="0">
                  <c:v>Operating Cost</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xVal>
            <c:numRef>
              <c:f>'Sensitivity Analysis'!$V$12:$V$24</c:f>
              <c:numCache>
                <c:formatCode>0%</c:formatCode>
                <c:ptCount val="13"/>
                <c:pt idx="0">
                  <c:v>-0.3</c:v>
                </c:pt>
                <c:pt idx="1">
                  <c:v>-0.25</c:v>
                </c:pt>
                <c:pt idx="2">
                  <c:v>-0.2</c:v>
                </c:pt>
                <c:pt idx="3">
                  <c:v>-0.15</c:v>
                </c:pt>
                <c:pt idx="4">
                  <c:v>-0.1</c:v>
                </c:pt>
                <c:pt idx="5">
                  <c:v>-0.05</c:v>
                </c:pt>
                <c:pt idx="6">
                  <c:v>0</c:v>
                </c:pt>
                <c:pt idx="7">
                  <c:v>0.05</c:v>
                </c:pt>
                <c:pt idx="8">
                  <c:v>0.1</c:v>
                </c:pt>
                <c:pt idx="9">
                  <c:v>0.15</c:v>
                </c:pt>
                <c:pt idx="10">
                  <c:v>0.2</c:v>
                </c:pt>
                <c:pt idx="11">
                  <c:v>0.25</c:v>
                </c:pt>
                <c:pt idx="12">
                  <c:v>0.3</c:v>
                </c:pt>
              </c:numCache>
            </c:numRef>
          </c:xVal>
          <c:yVal>
            <c:numRef>
              <c:f>'Sensitivity Analysis'!$Y$12:$Y$24</c:f>
              <c:numCache>
                <c:formatCode>0%</c:formatCode>
                <c:ptCount val="13"/>
                <c:pt idx="0">
                  <c:v>-1.7305320325599172E-2</c:v>
                </c:pt>
                <c:pt idx="1">
                  <c:v>-1.4421100271332588E-2</c:v>
                </c:pt>
                <c:pt idx="2">
                  <c:v>-1.1536880217066114E-2</c:v>
                </c:pt>
                <c:pt idx="3">
                  <c:v>-8.6526601627995303E-3</c:v>
                </c:pt>
                <c:pt idx="4">
                  <c:v>-5.7684401085330572E-3</c:v>
                </c:pt>
                <c:pt idx="5">
                  <c:v>-2.8842200542664731E-3</c:v>
                </c:pt>
                <c:pt idx="6">
                  <c:v>0</c:v>
                </c:pt>
                <c:pt idx="7">
                  <c:v>2.8842200542664731E-3</c:v>
                </c:pt>
                <c:pt idx="8">
                  <c:v>5.7684401085329462E-3</c:v>
                </c:pt>
                <c:pt idx="9">
                  <c:v>8.6526601627996413E-3</c:v>
                </c:pt>
                <c:pt idx="10">
                  <c:v>1.1536880217066114E-2</c:v>
                </c:pt>
                <c:pt idx="11">
                  <c:v>1.4421100271332588E-2</c:v>
                </c:pt>
                <c:pt idx="12">
                  <c:v>1.7305320325599061E-2</c:v>
                </c:pt>
              </c:numCache>
            </c:numRef>
          </c:yVal>
          <c:smooth val="0"/>
          <c:extLst>
            <c:ext xmlns:c16="http://schemas.microsoft.com/office/drawing/2014/chart" uri="{C3380CC4-5D6E-409C-BE32-E72D297353CC}">
              <c16:uniqueId val="{00000002-9656-4BED-BC7B-7397F9708895}"/>
            </c:ext>
          </c:extLst>
        </c:ser>
        <c:dLbls>
          <c:showLegendKey val="0"/>
          <c:showVal val="0"/>
          <c:showCatName val="0"/>
          <c:showSerName val="0"/>
          <c:showPercent val="0"/>
          <c:showBubbleSize val="0"/>
        </c:dLbls>
        <c:axId val="1169731048"/>
        <c:axId val="1169721864"/>
      </c:scatterChart>
      <c:valAx>
        <c:axId val="116973104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 sensitivity change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9721864"/>
        <c:crosses val="autoZero"/>
        <c:crossBetween val="midCat"/>
      </c:valAx>
      <c:valAx>
        <c:axId val="1169721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r>
                  <a:rPr lang="en-GB" baseline="0"/>
                  <a:t> change in variable</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97310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Sensitivity Testing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'Sensitivity Analysis'!$AB$11</c:f>
              <c:strCache>
                <c:ptCount val="1"/>
                <c:pt idx="0">
                  <c:v>Development and management costs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xVal>
            <c:numRef>
              <c:f>'Sensitivity Analysis'!$AA$12:$AA$24</c:f>
              <c:numCache>
                <c:formatCode>0%</c:formatCode>
                <c:ptCount val="13"/>
                <c:pt idx="0">
                  <c:v>-0.3</c:v>
                </c:pt>
                <c:pt idx="1">
                  <c:v>-0.25</c:v>
                </c:pt>
                <c:pt idx="2">
                  <c:v>-0.2</c:v>
                </c:pt>
                <c:pt idx="3">
                  <c:v>-0.15</c:v>
                </c:pt>
                <c:pt idx="4">
                  <c:v>-0.1</c:v>
                </c:pt>
                <c:pt idx="5">
                  <c:v>-0.05</c:v>
                </c:pt>
                <c:pt idx="6">
                  <c:v>0</c:v>
                </c:pt>
                <c:pt idx="7">
                  <c:v>0.05</c:v>
                </c:pt>
                <c:pt idx="8">
                  <c:v>0.1</c:v>
                </c:pt>
                <c:pt idx="9">
                  <c:v>0.15</c:v>
                </c:pt>
                <c:pt idx="10">
                  <c:v>0.2</c:v>
                </c:pt>
                <c:pt idx="11">
                  <c:v>0.25</c:v>
                </c:pt>
                <c:pt idx="12">
                  <c:v>0.3</c:v>
                </c:pt>
              </c:numCache>
            </c:numRef>
          </c:xVal>
          <c:yVal>
            <c:numRef>
              <c:f>'Sensitivity Analysis'!$AB$12:$AB$24</c:f>
              <c:numCache>
                <c:formatCode>_-[$$-409]* #,##0_ ;_-[$$-409]* \-#,##0\ ;_-[$$-409]* "-"??_ ;_-@_ </c:formatCode>
                <c:ptCount val="13"/>
                <c:pt idx="0">
                  <c:v>17257220.544741157</c:v>
                </c:pt>
                <c:pt idx="1">
                  <c:v>17475296.740555614</c:v>
                </c:pt>
                <c:pt idx="2">
                  <c:v>17693372.936370067</c:v>
                </c:pt>
                <c:pt idx="3">
                  <c:v>17911449.13218452</c:v>
                </c:pt>
                <c:pt idx="4">
                  <c:v>18129525.327998973</c:v>
                </c:pt>
                <c:pt idx="5">
                  <c:v>18347601.523813426</c:v>
                </c:pt>
                <c:pt idx="6">
                  <c:v>18565677.71962788</c:v>
                </c:pt>
                <c:pt idx="7">
                  <c:v>18783753.915442336</c:v>
                </c:pt>
                <c:pt idx="8">
                  <c:v>19001830.111256789</c:v>
                </c:pt>
                <c:pt idx="9">
                  <c:v>19219906.307071242</c:v>
                </c:pt>
                <c:pt idx="10">
                  <c:v>19437982.502885696</c:v>
                </c:pt>
                <c:pt idx="11">
                  <c:v>19656058.698700152</c:v>
                </c:pt>
                <c:pt idx="12">
                  <c:v>19874134.894514605</c:v>
                </c:pt>
              </c:numCache>
            </c:numRef>
          </c:yVal>
          <c:smooth val="0"/>
          <c:extLst>
            <c:ext xmlns:c16="http://schemas.microsoft.com/office/drawing/2014/chart" uri="{C3380CC4-5D6E-409C-BE32-E72D297353CC}">
              <c16:uniqueId val="{00000000-AB49-489B-9317-00639313DD1D}"/>
            </c:ext>
          </c:extLst>
        </c:ser>
        <c:ser>
          <c:idx val="1"/>
          <c:order val="1"/>
          <c:tx>
            <c:strRef>
              <c:f>'Sensitivity Analysis'!$AC$11</c:f>
              <c:strCache>
                <c:ptCount val="1"/>
                <c:pt idx="0">
                  <c:v>Construction Cost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xVal>
            <c:numRef>
              <c:f>'Sensitivity Analysis'!$AA$12:$AA$24</c:f>
              <c:numCache>
                <c:formatCode>0%</c:formatCode>
                <c:ptCount val="13"/>
                <c:pt idx="0">
                  <c:v>-0.3</c:v>
                </c:pt>
                <c:pt idx="1">
                  <c:v>-0.25</c:v>
                </c:pt>
                <c:pt idx="2">
                  <c:v>-0.2</c:v>
                </c:pt>
                <c:pt idx="3">
                  <c:v>-0.15</c:v>
                </c:pt>
                <c:pt idx="4">
                  <c:v>-0.1</c:v>
                </c:pt>
                <c:pt idx="5">
                  <c:v>-0.05</c:v>
                </c:pt>
                <c:pt idx="6">
                  <c:v>0</c:v>
                </c:pt>
                <c:pt idx="7">
                  <c:v>0.05</c:v>
                </c:pt>
                <c:pt idx="8">
                  <c:v>0.1</c:v>
                </c:pt>
                <c:pt idx="9">
                  <c:v>0.15</c:v>
                </c:pt>
                <c:pt idx="10">
                  <c:v>0.2</c:v>
                </c:pt>
                <c:pt idx="11">
                  <c:v>0.25</c:v>
                </c:pt>
                <c:pt idx="12">
                  <c:v>0.3</c:v>
                </c:pt>
              </c:numCache>
            </c:numRef>
          </c:xVal>
          <c:yVal>
            <c:numRef>
              <c:f>'Sensitivity Analysis'!$AC$12:$AC$24</c:f>
              <c:numCache>
                <c:formatCode>_-[$$-409]* #,##0_ ;_-[$$-409]* \-#,##0\ ;_-[$$-409]* "-"??_ ;_-@_ </c:formatCode>
                <c:ptCount val="13"/>
                <c:pt idx="0">
                  <c:v>14625716.57862624</c:v>
                </c:pt>
                <c:pt idx="1">
                  <c:v>15282376.768793181</c:v>
                </c:pt>
                <c:pt idx="2">
                  <c:v>15939036.958960121</c:v>
                </c:pt>
                <c:pt idx="3">
                  <c:v>16595697.149127061</c:v>
                </c:pt>
                <c:pt idx="4">
                  <c:v>17252357.339294001</c:v>
                </c:pt>
                <c:pt idx="5">
                  <c:v>17909017.529460941</c:v>
                </c:pt>
                <c:pt idx="6">
                  <c:v>18565677.71962788</c:v>
                </c:pt>
                <c:pt idx="7">
                  <c:v>19222337.909794822</c:v>
                </c:pt>
                <c:pt idx="8">
                  <c:v>19878998.099961765</c:v>
                </c:pt>
                <c:pt idx="9">
                  <c:v>20535658.2901287</c:v>
                </c:pt>
                <c:pt idx="10">
                  <c:v>21192318.480295643</c:v>
                </c:pt>
                <c:pt idx="11">
                  <c:v>21848978.670462582</c:v>
                </c:pt>
                <c:pt idx="12">
                  <c:v>22505638.860629521</c:v>
                </c:pt>
              </c:numCache>
            </c:numRef>
          </c:yVal>
          <c:smooth val="0"/>
          <c:extLst>
            <c:ext xmlns:c16="http://schemas.microsoft.com/office/drawing/2014/chart" uri="{C3380CC4-5D6E-409C-BE32-E72D297353CC}">
              <c16:uniqueId val="{00000001-AB49-489B-9317-00639313DD1D}"/>
            </c:ext>
          </c:extLst>
        </c:ser>
        <c:ser>
          <c:idx val="2"/>
          <c:order val="2"/>
          <c:tx>
            <c:strRef>
              <c:f>'Sensitivity Analysis'!$AD$11</c:f>
              <c:strCache>
                <c:ptCount val="1"/>
                <c:pt idx="0">
                  <c:v>Operating Cost</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xVal>
            <c:numRef>
              <c:f>'Sensitivity Analysis'!$AA$12:$AA$24</c:f>
              <c:numCache>
                <c:formatCode>0%</c:formatCode>
                <c:ptCount val="13"/>
                <c:pt idx="0">
                  <c:v>-0.3</c:v>
                </c:pt>
                <c:pt idx="1">
                  <c:v>-0.25</c:v>
                </c:pt>
                <c:pt idx="2">
                  <c:v>-0.2</c:v>
                </c:pt>
                <c:pt idx="3">
                  <c:v>-0.15</c:v>
                </c:pt>
                <c:pt idx="4">
                  <c:v>-0.1</c:v>
                </c:pt>
                <c:pt idx="5">
                  <c:v>-0.05</c:v>
                </c:pt>
                <c:pt idx="6">
                  <c:v>0</c:v>
                </c:pt>
                <c:pt idx="7">
                  <c:v>0.05</c:v>
                </c:pt>
                <c:pt idx="8">
                  <c:v>0.1</c:v>
                </c:pt>
                <c:pt idx="9">
                  <c:v>0.15</c:v>
                </c:pt>
                <c:pt idx="10">
                  <c:v>0.2</c:v>
                </c:pt>
                <c:pt idx="11">
                  <c:v>0.25</c:v>
                </c:pt>
                <c:pt idx="12">
                  <c:v>0.3</c:v>
                </c:pt>
              </c:numCache>
            </c:numRef>
          </c:xVal>
          <c:yVal>
            <c:numRef>
              <c:f>'Sensitivity Analysis'!$AD$12:$AD$24</c:f>
              <c:numCache>
                <c:formatCode>_-[$$-409]* #,##0_ ;_-[$$-409]* \-#,##0\ ;_-[$$-409]* "-"??_ ;_-@_ </c:formatCode>
                <c:ptCount val="13"/>
                <c:pt idx="0">
                  <c:v>18244392.71962788</c:v>
                </c:pt>
                <c:pt idx="1">
                  <c:v>18297940.21962788</c:v>
                </c:pt>
                <c:pt idx="2">
                  <c:v>18351487.71962788</c:v>
                </c:pt>
                <c:pt idx="3">
                  <c:v>18405035.21962788</c:v>
                </c:pt>
                <c:pt idx="4">
                  <c:v>18458582.71962788</c:v>
                </c:pt>
                <c:pt idx="5">
                  <c:v>18512130.21962788</c:v>
                </c:pt>
                <c:pt idx="6">
                  <c:v>18565677.71962788</c:v>
                </c:pt>
                <c:pt idx="7">
                  <c:v>18619225.21962788</c:v>
                </c:pt>
                <c:pt idx="8">
                  <c:v>18672772.71962788</c:v>
                </c:pt>
                <c:pt idx="9">
                  <c:v>18726320.21962788</c:v>
                </c:pt>
                <c:pt idx="10">
                  <c:v>18779867.71962788</c:v>
                </c:pt>
                <c:pt idx="11">
                  <c:v>18833415.21962788</c:v>
                </c:pt>
                <c:pt idx="12">
                  <c:v>18886962.71962788</c:v>
                </c:pt>
              </c:numCache>
            </c:numRef>
          </c:yVal>
          <c:smooth val="0"/>
          <c:extLst>
            <c:ext xmlns:c16="http://schemas.microsoft.com/office/drawing/2014/chart" uri="{C3380CC4-5D6E-409C-BE32-E72D297353CC}">
              <c16:uniqueId val="{00000002-AB49-489B-9317-00639313DD1D}"/>
            </c:ext>
          </c:extLst>
        </c:ser>
        <c:dLbls>
          <c:showLegendKey val="0"/>
          <c:showVal val="0"/>
          <c:showCatName val="0"/>
          <c:showSerName val="0"/>
          <c:showPercent val="0"/>
          <c:showBubbleSize val="0"/>
        </c:dLbls>
        <c:axId val="1169731048"/>
        <c:axId val="1169721864"/>
      </c:scatterChart>
      <c:valAx>
        <c:axId val="116973104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 sensitivity change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9721864"/>
        <c:crosses val="autoZero"/>
        <c:crossBetween val="midCat"/>
      </c:valAx>
      <c:valAx>
        <c:axId val="1169721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Valu</a:t>
                </a:r>
                <a:r>
                  <a:rPr lang="en-GB" baseline="0"/>
                  <a:t>e (USD)</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409]* #,##0_ ;_-[$$-409]* \-#,##0\ ;_-[$$-409]* &quot;-&quot;??_ ;_-@_ "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97310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AAD883B3-601B-4D11-981F-B5ED1E5AEBBA}" type="doc">
      <dgm:prSet loTypeId="urn:microsoft.com/office/officeart/2005/8/layout/hierarchy3" loCatId="hierarchy" qsTypeId="urn:microsoft.com/office/officeart/2005/8/quickstyle/simple1" qsCatId="simple" csTypeId="urn:microsoft.com/office/officeart/2005/8/colors/accent1_2" csCatId="accent1" phldr="1"/>
      <dgm:spPr/>
      <dgm:t>
        <a:bodyPr/>
        <a:lstStyle/>
        <a:p>
          <a:endParaRPr lang="en-GB"/>
        </a:p>
      </dgm:t>
    </dgm:pt>
    <dgm:pt modelId="{926B6A4E-8453-455E-85DB-0AFBE3286668}">
      <dgm:prSet phldrT="[Text]"/>
      <dgm:spPr>
        <a:solidFill>
          <a:srgbClr val="A4A4A6"/>
        </a:solidFill>
      </dgm:spPr>
      <dgm:t>
        <a:bodyPr/>
        <a:lstStyle/>
        <a:p>
          <a:r>
            <a:rPr lang="en-GB"/>
            <a:t>General Input Data</a:t>
          </a:r>
        </a:p>
      </dgm:t>
    </dgm:pt>
    <dgm:pt modelId="{2EDED404-8078-4C3C-BD49-89878E91B74B}" type="parTrans" cxnId="{87176C29-0508-4A8B-84A7-310589743713}">
      <dgm:prSet/>
      <dgm:spPr/>
      <dgm:t>
        <a:bodyPr/>
        <a:lstStyle/>
        <a:p>
          <a:endParaRPr lang="en-GB"/>
        </a:p>
      </dgm:t>
    </dgm:pt>
    <dgm:pt modelId="{7A476FE6-5144-4F1D-81E4-984FBE14FC02}" type="sibTrans" cxnId="{87176C29-0508-4A8B-84A7-310589743713}">
      <dgm:prSet/>
      <dgm:spPr/>
      <dgm:t>
        <a:bodyPr/>
        <a:lstStyle/>
        <a:p>
          <a:endParaRPr lang="en-GB"/>
        </a:p>
      </dgm:t>
    </dgm:pt>
    <dgm:pt modelId="{D475AC8A-C901-464A-973A-E43B49F3CC4A}">
      <dgm:prSet phldrT="[Text]"/>
      <dgm:spPr>
        <a:ln>
          <a:solidFill>
            <a:schemeClr val="accent1"/>
          </a:solidFill>
        </a:ln>
      </dgm:spPr>
      <dgm:t>
        <a:bodyPr/>
        <a:lstStyle/>
        <a:p>
          <a:r>
            <a:rPr lang="en-GB"/>
            <a:t>Disclaimer</a:t>
          </a:r>
        </a:p>
      </dgm:t>
    </dgm:pt>
    <dgm:pt modelId="{0AC10623-2D25-404B-BAA3-8DD42E850EA8}" type="parTrans" cxnId="{D2F65C99-6AB7-42AE-B709-99ACD88E7352}">
      <dgm:prSet/>
      <dgm:spPr/>
      <dgm:t>
        <a:bodyPr/>
        <a:lstStyle/>
        <a:p>
          <a:endParaRPr lang="en-GB"/>
        </a:p>
      </dgm:t>
    </dgm:pt>
    <dgm:pt modelId="{B43A7FC3-AFCE-4B22-A278-102C253D05E1}" type="sibTrans" cxnId="{D2F65C99-6AB7-42AE-B709-99ACD88E7352}">
      <dgm:prSet/>
      <dgm:spPr/>
      <dgm:t>
        <a:bodyPr/>
        <a:lstStyle/>
        <a:p>
          <a:endParaRPr lang="en-GB"/>
        </a:p>
      </dgm:t>
    </dgm:pt>
    <dgm:pt modelId="{DD4F8B61-BC35-447B-81E1-73D3D8DBDD1F}">
      <dgm:prSet phldrT="[Text]"/>
      <dgm:spPr>
        <a:ln>
          <a:solidFill>
            <a:schemeClr val="accent1"/>
          </a:solidFill>
        </a:ln>
      </dgm:spPr>
      <dgm:t>
        <a:bodyPr/>
        <a:lstStyle/>
        <a:p>
          <a:r>
            <a:rPr lang="en-GB"/>
            <a:t>Log</a:t>
          </a:r>
        </a:p>
      </dgm:t>
    </dgm:pt>
    <dgm:pt modelId="{D04CB7AA-57E9-48AD-BFBC-E159ACE179CB}" type="parTrans" cxnId="{C0CCBDD3-A9FE-440F-A1B1-C48CC186933D}">
      <dgm:prSet/>
      <dgm:spPr/>
      <dgm:t>
        <a:bodyPr/>
        <a:lstStyle/>
        <a:p>
          <a:endParaRPr lang="en-GB"/>
        </a:p>
      </dgm:t>
    </dgm:pt>
    <dgm:pt modelId="{925FD25D-BD4C-4881-AF08-47A9A6CAAD54}" type="sibTrans" cxnId="{C0CCBDD3-A9FE-440F-A1B1-C48CC186933D}">
      <dgm:prSet/>
      <dgm:spPr/>
      <dgm:t>
        <a:bodyPr/>
        <a:lstStyle/>
        <a:p>
          <a:endParaRPr lang="en-GB"/>
        </a:p>
      </dgm:t>
    </dgm:pt>
    <dgm:pt modelId="{0FFDA6D1-7125-4E0F-BAD9-0D644CE49073}">
      <dgm:prSet phldrT="[Text]"/>
      <dgm:spPr>
        <a:solidFill>
          <a:schemeClr val="accent5"/>
        </a:solidFill>
      </dgm:spPr>
      <dgm:t>
        <a:bodyPr/>
        <a:lstStyle/>
        <a:p>
          <a:r>
            <a:rPr lang="en-GB"/>
            <a:t>Project Input Data</a:t>
          </a:r>
        </a:p>
      </dgm:t>
    </dgm:pt>
    <dgm:pt modelId="{D0E224F2-27D1-423A-8725-D555DC9E9887}" type="parTrans" cxnId="{E29DB60D-EC65-4B50-8BD4-E94732C3E8AC}">
      <dgm:prSet/>
      <dgm:spPr/>
      <dgm:t>
        <a:bodyPr/>
        <a:lstStyle/>
        <a:p>
          <a:endParaRPr lang="en-GB"/>
        </a:p>
      </dgm:t>
    </dgm:pt>
    <dgm:pt modelId="{F8818902-E71A-4FDB-B300-BDC997F2A4B1}" type="sibTrans" cxnId="{E29DB60D-EC65-4B50-8BD4-E94732C3E8AC}">
      <dgm:prSet/>
      <dgm:spPr/>
      <dgm:t>
        <a:bodyPr/>
        <a:lstStyle/>
        <a:p>
          <a:endParaRPr lang="en-GB"/>
        </a:p>
      </dgm:t>
    </dgm:pt>
    <dgm:pt modelId="{B4868CD6-2270-438F-AFAF-76D4F12A668F}">
      <dgm:prSet phldrT="[Text]"/>
      <dgm:spPr>
        <a:ln>
          <a:solidFill>
            <a:schemeClr val="accent5"/>
          </a:solidFill>
        </a:ln>
      </dgm:spPr>
      <dgm:t>
        <a:bodyPr/>
        <a:lstStyle/>
        <a:p>
          <a:r>
            <a:rPr lang="en-GB"/>
            <a:t>Financing</a:t>
          </a:r>
        </a:p>
      </dgm:t>
    </dgm:pt>
    <dgm:pt modelId="{804AA71B-4EB7-4282-9529-7C525E2B9CA3}" type="parTrans" cxnId="{FA4E397C-AA0F-44C4-B514-14B41BF09A38}">
      <dgm:prSet/>
      <dgm:spPr/>
      <dgm:t>
        <a:bodyPr/>
        <a:lstStyle/>
        <a:p>
          <a:endParaRPr lang="en-GB"/>
        </a:p>
      </dgm:t>
    </dgm:pt>
    <dgm:pt modelId="{45EF2DF5-420D-4FCC-BBA3-58DBC5D16C27}" type="sibTrans" cxnId="{FA4E397C-AA0F-44C4-B514-14B41BF09A38}">
      <dgm:prSet/>
      <dgm:spPr/>
      <dgm:t>
        <a:bodyPr/>
        <a:lstStyle/>
        <a:p>
          <a:endParaRPr lang="en-GB"/>
        </a:p>
      </dgm:t>
    </dgm:pt>
    <dgm:pt modelId="{A89354FE-6A1D-49F7-83E0-BE2EB324284D}">
      <dgm:prSet phldrT="[Text]"/>
      <dgm:spPr>
        <a:ln>
          <a:solidFill>
            <a:schemeClr val="accent1"/>
          </a:solidFill>
        </a:ln>
      </dgm:spPr>
      <dgm:t>
        <a:bodyPr/>
        <a:lstStyle/>
        <a:p>
          <a:r>
            <a:rPr lang="en-GB"/>
            <a:t>Map</a:t>
          </a:r>
        </a:p>
      </dgm:t>
    </dgm:pt>
    <dgm:pt modelId="{FD70A921-45F6-47D3-925F-5248B09FC8CC}" type="parTrans" cxnId="{ABEDF90C-8215-4BFA-96E3-6375486845D9}">
      <dgm:prSet/>
      <dgm:spPr/>
      <dgm:t>
        <a:bodyPr/>
        <a:lstStyle/>
        <a:p>
          <a:endParaRPr lang="en-GB"/>
        </a:p>
      </dgm:t>
    </dgm:pt>
    <dgm:pt modelId="{71ABE640-1531-4BB0-993A-F940F90B7F5F}" type="sibTrans" cxnId="{ABEDF90C-8215-4BFA-96E3-6375486845D9}">
      <dgm:prSet/>
      <dgm:spPr/>
      <dgm:t>
        <a:bodyPr/>
        <a:lstStyle/>
        <a:p>
          <a:endParaRPr lang="en-GB"/>
        </a:p>
      </dgm:t>
    </dgm:pt>
    <dgm:pt modelId="{3CCB8DB0-2F05-4EEA-90B5-7322312397F7}">
      <dgm:prSet phldrT="[Text]"/>
      <dgm:spPr>
        <a:solidFill>
          <a:schemeClr val="accent3"/>
        </a:solidFill>
      </dgm:spPr>
      <dgm:t>
        <a:bodyPr/>
        <a:lstStyle/>
        <a:p>
          <a:r>
            <a:rPr lang="en-GB"/>
            <a:t>Calculations</a:t>
          </a:r>
        </a:p>
      </dgm:t>
    </dgm:pt>
    <dgm:pt modelId="{B43FE91A-3540-4BEC-81BE-358EA1D593A5}" type="parTrans" cxnId="{20DA39B4-2E4B-48A2-A27D-DACA55DA7080}">
      <dgm:prSet/>
      <dgm:spPr/>
      <dgm:t>
        <a:bodyPr/>
        <a:lstStyle/>
        <a:p>
          <a:endParaRPr lang="en-GB"/>
        </a:p>
      </dgm:t>
    </dgm:pt>
    <dgm:pt modelId="{35A04863-425A-454B-8C12-0C8C3526A6F4}" type="sibTrans" cxnId="{20DA39B4-2E4B-48A2-A27D-DACA55DA7080}">
      <dgm:prSet/>
      <dgm:spPr/>
      <dgm:t>
        <a:bodyPr/>
        <a:lstStyle/>
        <a:p>
          <a:endParaRPr lang="en-GB"/>
        </a:p>
      </dgm:t>
    </dgm:pt>
    <dgm:pt modelId="{590DFD14-112D-4880-B252-7F6884E55FB6}">
      <dgm:prSet phldrT="[Text]"/>
      <dgm:spPr>
        <a:ln>
          <a:solidFill>
            <a:schemeClr val="accent3"/>
          </a:solidFill>
        </a:ln>
      </dgm:spPr>
      <dgm:t>
        <a:bodyPr/>
        <a:lstStyle/>
        <a:p>
          <a:r>
            <a:rPr lang="en-GB"/>
            <a:t>Improvement Timeline</a:t>
          </a:r>
        </a:p>
      </dgm:t>
    </dgm:pt>
    <dgm:pt modelId="{1D34D684-CF0B-4615-BD36-F99B1CA2F92B}" type="parTrans" cxnId="{D50A2562-507D-4299-B92F-D5B9DCFD1336}">
      <dgm:prSet/>
      <dgm:spPr>
        <a:ln>
          <a:solidFill>
            <a:srgbClr val="B484A2"/>
          </a:solidFill>
        </a:ln>
      </dgm:spPr>
      <dgm:t>
        <a:bodyPr/>
        <a:lstStyle/>
        <a:p>
          <a:endParaRPr lang="en-GB"/>
        </a:p>
      </dgm:t>
    </dgm:pt>
    <dgm:pt modelId="{F56B2315-01A5-430A-B38C-BF804C055D88}" type="sibTrans" cxnId="{D50A2562-507D-4299-B92F-D5B9DCFD1336}">
      <dgm:prSet/>
      <dgm:spPr/>
      <dgm:t>
        <a:bodyPr/>
        <a:lstStyle/>
        <a:p>
          <a:endParaRPr lang="en-GB"/>
        </a:p>
      </dgm:t>
    </dgm:pt>
    <dgm:pt modelId="{14516A2F-18A1-46AE-A026-0CD3C091BDD2}">
      <dgm:prSet phldrT="[Text]"/>
      <dgm:spPr>
        <a:solidFill>
          <a:schemeClr val="accent4">
            <a:lumMod val="90000"/>
          </a:schemeClr>
        </a:solidFill>
      </dgm:spPr>
      <dgm:t>
        <a:bodyPr/>
        <a:lstStyle/>
        <a:p>
          <a:r>
            <a:rPr lang="en-GB"/>
            <a:t>Outputs</a:t>
          </a:r>
        </a:p>
      </dgm:t>
    </dgm:pt>
    <dgm:pt modelId="{AF6E9DCB-6DE5-4FFC-9EC0-236ED2BB521A}" type="parTrans" cxnId="{47C77468-D33F-4D2C-A82E-BFF5D27C4E77}">
      <dgm:prSet/>
      <dgm:spPr/>
      <dgm:t>
        <a:bodyPr/>
        <a:lstStyle/>
        <a:p>
          <a:endParaRPr lang="en-GB"/>
        </a:p>
      </dgm:t>
    </dgm:pt>
    <dgm:pt modelId="{A2C214C8-3CD3-48E3-AFA9-44A263E68200}" type="sibTrans" cxnId="{47C77468-D33F-4D2C-A82E-BFF5D27C4E77}">
      <dgm:prSet/>
      <dgm:spPr/>
      <dgm:t>
        <a:bodyPr/>
        <a:lstStyle/>
        <a:p>
          <a:endParaRPr lang="en-GB"/>
        </a:p>
      </dgm:t>
    </dgm:pt>
    <dgm:pt modelId="{284283C3-80D9-4F2D-BBEF-D7093D13A9AA}">
      <dgm:prSet phldrT="[Text]"/>
      <dgm:spPr>
        <a:ln>
          <a:solidFill>
            <a:srgbClr val="C0D4FD"/>
          </a:solidFill>
        </a:ln>
      </dgm:spPr>
      <dgm:t>
        <a:bodyPr/>
        <a:lstStyle/>
        <a:p>
          <a:r>
            <a:rPr lang="en-GB"/>
            <a:t>Dashboard</a:t>
          </a:r>
        </a:p>
      </dgm:t>
    </dgm:pt>
    <dgm:pt modelId="{5F4A8916-3BE3-49CE-8E13-CF4338E9A7FF}" type="parTrans" cxnId="{FFB14D0D-8A56-4A01-972D-7E65E96B6052}">
      <dgm:prSet/>
      <dgm:spPr>
        <a:ln>
          <a:solidFill>
            <a:srgbClr val="C0D4FD"/>
          </a:solidFill>
        </a:ln>
      </dgm:spPr>
      <dgm:t>
        <a:bodyPr/>
        <a:lstStyle/>
        <a:p>
          <a:endParaRPr lang="en-GB"/>
        </a:p>
      </dgm:t>
    </dgm:pt>
    <dgm:pt modelId="{EB62A3D5-B107-4879-BED4-0868250CE1F9}" type="sibTrans" cxnId="{FFB14D0D-8A56-4A01-972D-7E65E96B6052}">
      <dgm:prSet/>
      <dgm:spPr/>
      <dgm:t>
        <a:bodyPr/>
        <a:lstStyle/>
        <a:p>
          <a:endParaRPr lang="en-GB"/>
        </a:p>
      </dgm:t>
    </dgm:pt>
    <dgm:pt modelId="{673B4C66-EFD0-4A08-8DA3-1E319B2A40BB}">
      <dgm:prSet phldrT="[Text]"/>
      <dgm:spPr>
        <a:ln>
          <a:solidFill>
            <a:schemeClr val="accent5"/>
          </a:solidFill>
        </a:ln>
      </dgm:spPr>
      <dgm:t>
        <a:bodyPr/>
        <a:lstStyle/>
        <a:p>
          <a:r>
            <a:rPr lang="en-GB"/>
            <a:t>Annex 4</a:t>
          </a:r>
        </a:p>
      </dgm:t>
    </dgm:pt>
    <dgm:pt modelId="{784A0612-F306-4EC8-8783-C2A863087336}" type="parTrans" cxnId="{208DB770-AED0-4DBE-A329-466D390F7266}">
      <dgm:prSet/>
      <dgm:spPr>
        <a:solidFill>
          <a:schemeClr val="accent5">
            <a:lumMod val="90000"/>
          </a:schemeClr>
        </a:solidFill>
        <a:ln>
          <a:solidFill>
            <a:schemeClr val="accent5"/>
          </a:solidFill>
        </a:ln>
      </dgm:spPr>
      <dgm:t>
        <a:bodyPr/>
        <a:lstStyle/>
        <a:p>
          <a:endParaRPr lang="en-GB"/>
        </a:p>
      </dgm:t>
    </dgm:pt>
    <dgm:pt modelId="{F1CF41B5-865B-44AE-9AE9-62F99954B314}" type="sibTrans" cxnId="{208DB770-AED0-4DBE-A329-466D390F7266}">
      <dgm:prSet/>
      <dgm:spPr/>
      <dgm:t>
        <a:bodyPr/>
        <a:lstStyle/>
        <a:p>
          <a:endParaRPr lang="en-GB"/>
        </a:p>
      </dgm:t>
    </dgm:pt>
    <dgm:pt modelId="{E4E8A47B-F4EF-4BB2-AA25-600EE6F94737}">
      <dgm:prSet/>
      <dgm:spPr>
        <a:ln>
          <a:solidFill>
            <a:schemeClr val="accent5"/>
          </a:solidFill>
        </a:ln>
      </dgm:spPr>
      <dgm:t>
        <a:bodyPr/>
        <a:lstStyle/>
        <a:p>
          <a:r>
            <a:rPr lang="en-GB"/>
            <a:t>Assumptions</a:t>
          </a:r>
        </a:p>
      </dgm:t>
    </dgm:pt>
    <dgm:pt modelId="{92A6FA33-8A35-45E9-B7F0-EA81B2C79DCC}" type="parTrans" cxnId="{5B75AD04-B284-4D6A-AFBF-CFDA10188EC1}">
      <dgm:prSet/>
      <dgm:spPr/>
      <dgm:t>
        <a:bodyPr/>
        <a:lstStyle/>
        <a:p>
          <a:endParaRPr lang="en-GB"/>
        </a:p>
      </dgm:t>
    </dgm:pt>
    <dgm:pt modelId="{2CBF2C4A-FD7F-42B2-A4D6-FBB7ABE945FC}" type="sibTrans" cxnId="{5B75AD04-B284-4D6A-AFBF-CFDA10188EC1}">
      <dgm:prSet/>
      <dgm:spPr/>
      <dgm:t>
        <a:bodyPr/>
        <a:lstStyle/>
        <a:p>
          <a:endParaRPr lang="en-GB"/>
        </a:p>
      </dgm:t>
    </dgm:pt>
    <dgm:pt modelId="{26E6B6FD-C9C9-4EE3-83AB-2B8270450BB6}">
      <dgm:prSet/>
      <dgm:spPr>
        <a:ln>
          <a:solidFill>
            <a:schemeClr val="accent3"/>
          </a:solidFill>
        </a:ln>
      </dgm:spPr>
      <dgm:t>
        <a:bodyPr/>
        <a:lstStyle/>
        <a:p>
          <a:r>
            <a:rPr lang="en-GB"/>
            <a:t>Summary</a:t>
          </a:r>
        </a:p>
      </dgm:t>
    </dgm:pt>
    <dgm:pt modelId="{40EF7FDE-41BF-4BE5-A782-D81688DF1556}" type="parTrans" cxnId="{0DDD3628-4642-423F-9B62-408B610B70B7}">
      <dgm:prSet/>
      <dgm:spPr/>
      <dgm:t>
        <a:bodyPr/>
        <a:lstStyle/>
        <a:p>
          <a:endParaRPr lang="en-GB"/>
        </a:p>
      </dgm:t>
    </dgm:pt>
    <dgm:pt modelId="{14FCD6BA-C36A-4165-8675-4C63766B1556}" type="sibTrans" cxnId="{0DDD3628-4642-423F-9B62-408B610B70B7}">
      <dgm:prSet/>
      <dgm:spPr/>
      <dgm:t>
        <a:bodyPr/>
        <a:lstStyle/>
        <a:p>
          <a:endParaRPr lang="en-GB"/>
        </a:p>
      </dgm:t>
    </dgm:pt>
    <dgm:pt modelId="{002E3702-F778-473D-B885-592C5BFE79F3}">
      <dgm:prSet/>
      <dgm:spPr>
        <a:ln>
          <a:solidFill>
            <a:schemeClr val="accent3"/>
          </a:solidFill>
        </a:ln>
      </dgm:spPr>
      <dgm:t>
        <a:bodyPr/>
        <a:lstStyle/>
        <a:p>
          <a:r>
            <a:rPr lang="en-GB"/>
            <a:t>Cashflow</a:t>
          </a:r>
        </a:p>
      </dgm:t>
    </dgm:pt>
    <dgm:pt modelId="{4FD23F49-9BD5-4A88-B216-A3532F098C11}" type="parTrans" cxnId="{02FFECAD-BFB8-4914-97AE-A30C8043CC0B}">
      <dgm:prSet/>
      <dgm:spPr/>
      <dgm:t>
        <a:bodyPr/>
        <a:lstStyle/>
        <a:p>
          <a:endParaRPr lang="en-GB"/>
        </a:p>
      </dgm:t>
    </dgm:pt>
    <dgm:pt modelId="{07D603D3-7FDA-4B7B-B523-FFF3BE1E1416}" type="sibTrans" cxnId="{02FFECAD-BFB8-4914-97AE-A30C8043CC0B}">
      <dgm:prSet/>
      <dgm:spPr/>
      <dgm:t>
        <a:bodyPr/>
        <a:lstStyle/>
        <a:p>
          <a:endParaRPr lang="en-GB"/>
        </a:p>
      </dgm:t>
    </dgm:pt>
    <dgm:pt modelId="{3B937C96-83CD-4746-BB6E-4DE45AA2FC9B}">
      <dgm:prSet/>
      <dgm:spPr>
        <a:ln>
          <a:solidFill>
            <a:schemeClr val="accent3"/>
          </a:solidFill>
        </a:ln>
      </dgm:spPr>
      <dgm:t>
        <a:bodyPr/>
        <a:lstStyle/>
        <a:p>
          <a:r>
            <a:rPr lang="en-GB"/>
            <a:t>Sensitivity analysis</a:t>
          </a:r>
        </a:p>
      </dgm:t>
    </dgm:pt>
    <dgm:pt modelId="{5F2C4D40-44F2-4459-A208-092A633530B4}" type="parTrans" cxnId="{CAD3B3FF-A43A-4CD6-AEDD-1E4704C8D4C5}">
      <dgm:prSet/>
      <dgm:spPr>
        <a:solidFill>
          <a:schemeClr val="accent3">
            <a:lumMod val="75000"/>
          </a:schemeClr>
        </a:solidFill>
        <a:ln>
          <a:solidFill>
            <a:schemeClr val="accent3">
              <a:lumMod val="75000"/>
            </a:schemeClr>
          </a:solidFill>
        </a:ln>
      </dgm:spPr>
      <dgm:t>
        <a:bodyPr/>
        <a:lstStyle/>
        <a:p>
          <a:endParaRPr lang="en-GB"/>
        </a:p>
      </dgm:t>
    </dgm:pt>
    <dgm:pt modelId="{2DCA18C9-3D61-482B-A9E2-2C52C7E0EC09}" type="sibTrans" cxnId="{CAD3B3FF-A43A-4CD6-AEDD-1E4704C8D4C5}">
      <dgm:prSet/>
      <dgm:spPr/>
      <dgm:t>
        <a:bodyPr/>
        <a:lstStyle/>
        <a:p>
          <a:endParaRPr lang="en-GB"/>
        </a:p>
      </dgm:t>
    </dgm:pt>
    <dgm:pt modelId="{237652CF-7CD8-4ACD-B41C-FFAB93A7366E}">
      <dgm:prSet/>
      <dgm:spPr/>
      <dgm:t>
        <a:bodyPr/>
        <a:lstStyle/>
        <a:p>
          <a:r>
            <a:rPr lang="en-GB"/>
            <a:t>Dropdowns</a:t>
          </a:r>
        </a:p>
      </dgm:t>
    </dgm:pt>
    <dgm:pt modelId="{145654C9-8F3B-4759-91B8-D12F3B07E573}" type="parTrans" cxnId="{471D695D-1391-4B58-A25E-4172E04F7EB6}">
      <dgm:prSet/>
      <dgm:spPr/>
      <dgm:t>
        <a:bodyPr/>
        <a:lstStyle/>
        <a:p>
          <a:endParaRPr lang="en-GB"/>
        </a:p>
      </dgm:t>
    </dgm:pt>
    <dgm:pt modelId="{6D5DDABF-FD0F-4A7A-9E67-1B65AB2E28D6}" type="sibTrans" cxnId="{471D695D-1391-4B58-A25E-4172E04F7EB6}">
      <dgm:prSet/>
      <dgm:spPr/>
      <dgm:t>
        <a:bodyPr/>
        <a:lstStyle/>
        <a:p>
          <a:endParaRPr lang="en-GB"/>
        </a:p>
      </dgm:t>
    </dgm:pt>
    <dgm:pt modelId="{E98604CF-B8C7-4D37-AEA1-76BD3B419B24}">
      <dgm:prSet/>
      <dgm:spPr>
        <a:ln>
          <a:solidFill>
            <a:schemeClr val="accent3"/>
          </a:solidFill>
        </a:ln>
      </dgm:spPr>
      <dgm:t>
        <a:bodyPr/>
        <a:lstStyle/>
        <a:p>
          <a:r>
            <a:rPr lang="en-GB"/>
            <a:t>Solar street lighting</a:t>
          </a:r>
        </a:p>
      </dgm:t>
    </dgm:pt>
    <dgm:pt modelId="{FC87FF1B-1D14-4283-A1D7-4556DD92B3D2}" type="parTrans" cxnId="{92EAE51C-3C7F-4444-B179-03C0F29B0FA4}">
      <dgm:prSet/>
      <dgm:spPr/>
      <dgm:t>
        <a:bodyPr/>
        <a:lstStyle/>
        <a:p>
          <a:endParaRPr lang="en-GB"/>
        </a:p>
      </dgm:t>
    </dgm:pt>
    <dgm:pt modelId="{C86F54DF-69E5-4283-8151-BA331F8A43AD}" type="sibTrans" cxnId="{92EAE51C-3C7F-4444-B179-03C0F29B0FA4}">
      <dgm:prSet/>
      <dgm:spPr/>
      <dgm:t>
        <a:bodyPr/>
        <a:lstStyle/>
        <a:p>
          <a:endParaRPr lang="en-GB"/>
        </a:p>
      </dgm:t>
    </dgm:pt>
    <dgm:pt modelId="{78194CE1-15EB-4A2B-9F3B-C03D939F7E60}">
      <dgm:prSet phldrT="[Text]"/>
      <dgm:spPr>
        <a:ln>
          <a:solidFill>
            <a:schemeClr val="accent5"/>
          </a:solidFill>
        </a:ln>
      </dgm:spPr>
      <dgm:t>
        <a:bodyPr/>
        <a:lstStyle/>
        <a:p>
          <a:r>
            <a:rPr lang="en-GB"/>
            <a:t>Timeline</a:t>
          </a:r>
        </a:p>
      </dgm:t>
    </dgm:pt>
    <dgm:pt modelId="{10AA5C7E-6BC6-443C-8FF7-46661B32F197}" type="parTrans" cxnId="{C64914DC-4030-4970-BE09-3A0433A57E5E}">
      <dgm:prSet/>
      <dgm:spPr/>
      <dgm:t>
        <a:bodyPr/>
        <a:lstStyle/>
        <a:p>
          <a:endParaRPr lang="en-GB"/>
        </a:p>
      </dgm:t>
    </dgm:pt>
    <dgm:pt modelId="{37A65BFD-6729-485F-82B1-EC32E7063FE0}" type="sibTrans" cxnId="{C64914DC-4030-4970-BE09-3A0433A57E5E}">
      <dgm:prSet/>
      <dgm:spPr/>
      <dgm:t>
        <a:bodyPr/>
        <a:lstStyle/>
        <a:p>
          <a:endParaRPr lang="en-GB"/>
        </a:p>
      </dgm:t>
    </dgm:pt>
    <dgm:pt modelId="{E4C86F69-E645-4CB2-95FA-5B9E12FB79F7}" type="pres">
      <dgm:prSet presAssocID="{AAD883B3-601B-4D11-981F-B5ED1E5AEBBA}" presName="diagram" presStyleCnt="0">
        <dgm:presLayoutVars>
          <dgm:chPref val="1"/>
          <dgm:dir/>
          <dgm:animOne val="branch"/>
          <dgm:animLvl val="lvl"/>
          <dgm:resizeHandles/>
        </dgm:presLayoutVars>
      </dgm:prSet>
      <dgm:spPr/>
    </dgm:pt>
    <dgm:pt modelId="{ACCA27F5-809F-4CC7-B417-264A08BEBCE9}" type="pres">
      <dgm:prSet presAssocID="{926B6A4E-8453-455E-85DB-0AFBE3286668}" presName="root" presStyleCnt="0"/>
      <dgm:spPr/>
    </dgm:pt>
    <dgm:pt modelId="{1AC8754A-1286-4307-934B-053F25A5D9F8}" type="pres">
      <dgm:prSet presAssocID="{926B6A4E-8453-455E-85DB-0AFBE3286668}" presName="rootComposite" presStyleCnt="0"/>
      <dgm:spPr/>
    </dgm:pt>
    <dgm:pt modelId="{A58197E9-6083-4782-987B-C8C5AE2F5D5B}" type="pres">
      <dgm:prSet presAssocID="{926B6A4E-8453-455E-85DB-0AFBE3286668}" presName="rootText" presStyleLbl="node1" presStyleIdx="0" presStyleCnt="4"/>
      <dgm:spPr/>
    </dgm:pt>
    <dgm:pt modelId="{0287D7F7-12D2-414C-AA14-1494202FA298}" type="pres">
      <dgm:prSet presAssocID="{926B6A4E-8453-455E-85DB-0AFBE3286668}" presName="rootConnector" presStyleLbl="node1" presStyleIdx="0" presStyleCnt="4"/>
      <dgm:spPr/>
    </dgm:pt>
    <dgm:pt modelId="{E79E739F-2407-47DC-84C9-618FC8AFBB4F}" type="pres">
      <dgm:prSet presAssocID="{926B6A4E-8453-455E-85DB-0AFBE3286668}" presName="childShape" presStyleCnt="0"/>
      <dgm:spPr/>
    </dgm:pt>
    <dgm:pt modelId="{12AEAB6F-AB41-49FA-9AFF-2EEFD6F6C2C7}" type="pres">
      <dgm:prSet presAssocID="{0AC10623-2D25-404B-BAA3-8DD42E850EA8}" presName="Name13" presStyleLbl="parChTrans1D2" presStyleIdx="0" presStyleCnt="14"/>
      <dgm:spPr/>
    </dgm:pt>
    <dgm:pt modelId="{9A36FEA1-B6D9-4272-9379-20A238532315}" type="pres">
      <dgm:prSet presAssocID="{D475AC8A-C901-464A-973A-E43B49F3CC4A}" presName="childText" presStyleLbl="bgAcc1" presStyleIdx="0" presStyleCnt="14">
        <dgm:presLayoutVars>
          <dgm:bulletEnabled val="1"/>
        </dgm:presLayoutVars>
      </dgm:prSet>
      <dgm:spPr/>
    </dgm:pt>
    <dgm:pt modelId="{F828DA14-D086-4791-8279-10DC98D63A31}" type="pres">
      <dgm:prSet presAssocID="{D04CB7AA-57E9-48AD-BFBC-E159ACE179CB}" presName="Name13" presStyleLbl="parChTrans1D2" presStyleIdx="1" presStyleCnt="14"/>
      <dgm:spPr/>
    </dgm:pt>
    <dgm:pt modelId="{DFBB1C85-A688-49C1-A3EB-B56AB91E4E4F}" type="pres">
      <dgm:prSet presAssocID="{DD4F8B61-BC35-447B-81E1-73D3D8DBDD1F}" presName="childText" presStyleLbl="bgAcc1" presStyleIdx="1" presStyleCnt="14">
        <dgm:presLayoutVars>
          <dgm:bulletEnabled val="1"/>
        </dgm:presLayoutVars>
      </dgm:prSet>
      <dgm:spPr/>
    </dgm:pt>
    <dgm:pt modelId="{455714B7-3B86-4D18-8A00-CF2739D3FEA9}" type="pres">
      <dgm:prSet presAssocID="{FD70A921-45F6-47D3-925F-5248B09FC8CC}" presName="Name13" presStyleLbl="parChTrans1D2" presStyleIdx="2" presStyleCnt="14"/>
      <dgm:spPr/>
    </dgm:pt>
    <dgm:pt modelId="{18BBF26F-1CA0-4E85-B42B-A90409B84220}" type="pres">
      <dgm:prSet presAssocID="{A89354FE-6A1D-49F7-83E0-BE2EB324284D}" presName="childText" presStyleLbl="bgAcc1" presStyleIdx="2" presStyleCnt="14">
        <dgm:presLayoutVars>
          <dgm:bulletEnabled val="1"/>
        </dgm:presLayoutVars>
      </dgm:prSet>
      <dgm:spPr/>
    </dgm:pt>
    <dgm:pt modelId="{F25ECFAB-D6A1-4493-9348-B63D3B4F116F}" type="pres">
      <dgm:prSet presAssocID="{145654C9-8F3B-4759-91B8-D12F3B07E573}" presName="Name13" presStyleLbl="parChTrans1D2" presStyleIdx="3" presStyleCnt="14"/>
      <dgm:spPr/>
    </dgm:pt>
    <dgm:pt modelId="{17A20D5D-3598-4AA6-809A-6288B51E3C02}" type="pres">
      <dgm:prSet presAssocID="{237652CF-7CD8-4ACD-B41C-FFAB93A7366E}" presName="childText" presStyleLbl="bgAcc1" presStyleIdx="3" presStyleCnt="14">
        <dgm:presLayoutVars>
          <dgm:bulletEnabled val="1"/>
        </dgm:presLayoutVars>
      </dgm:prSet>
      <dgm:spPr/>
    </dgm:pt>
    <dgm:pt modelId="{A0F402D4-0D61-497A-B2B7-9E6A99E51368}" type="pres">
      <dgm:prSet presAssocID="{0FFDA6D1-7125-4E0F-BAD9-0D644CE49073}" presName="root" presStyleCnt="0"/>
      <dgm:spPr/>
    </dgm:pt>
    <dgm:pt modelId="{29AB3364-E28C-4DF5-A9D1-142EC4479C9F}" type="pres">
      <dgm:prSet presAssocID="{0FFDA6D1-7125-4E0F-BAD9-0D644CE49073}" presName="rootComposite" presStyleCnt="0"/>
      <dgm:spPr/>
    </dgm:pt>
    <dgm:pt modelId="{26E9F9D7-65CC-46A3-80CA-E06FA1BDBD8D}" type="pres">
      <dgm:prSet presAssocID="{0FFDA6D1-7125-4E0F-BAD9-0D644CE49073}" presName="rootText" presStyleLbl="node1" presStyleIdx="1" presStyleCnt="4"/>
      <dgm:spPr/>
    </dgm:pt>
    <dgm:pt modelId="{E37512D3-AC8D-4C1C-AC85-060F7D3D85A8}" type="pres">
      <dgm:prSet presAssocID="{0FFDA6D1-7125-4E0F-BAD9-0D644CE49073}" presName="rootConnector" presStyleLbl="node1" presStyleIdx="1" presStyleCnt="4"/>
      <dgm:spPr/>
    </dgm:pt>
    <dgm:pt modelId="{E7497C3D-24F4-400E-8B17-9085E19A528D}" type="pres">
      <dgm:prSet presAssocID="{0FFDA6D1-7125-4E0F-BAD9-0D644CE49073}" presName="childShape" presStyleCnt="0"/>
      <dgm:spPr/>
    </dgm:pt>
    <dgm:pt modelId="{FA9A8413-9069-4340-AF2E-952F710457BE}" type="pres">
      <dgm:prSet presAssocID="{92A6FA33-8A35-45E9-B7F0-EA81B2C79DCC}" presName="Name13" presStyleLbl="parChTrans1D2" presStyleIdx="4" presStyleCnt="14"/>
      <dgm:spPr/>
    </dgm:pt>
    <dgm:pt modelId="{0C9ABA58-8D03-409E-ACB5-4D52207FCCD6}" type="pres">
      <dgm:prSet presAssocID="{E4E8A47B-F4EF-4BB2-AA25-600EE6F94737}" presName="childText" presStyleLbl="bgAcc1" presStyleIdx="4" presStyleCnt="14">
        <dgm:presLayoutVars>
          <dgm:bulletEnabled val="1"/>
        </dgm:presLayoutVars>
      </dgm:prSet>
      <dgm:spPr/>
    </dgm:pt>
    <dgm:pt modelId="{90A7EC9F-6D71-4E17-8C1C-46B3BC230642}" type="pres">
      <dgm:prSet presAssocID="{804AA71B-4EB7-4282-9529-7C525E2B9CA3}" presName="Name13" presStyleLbl="parChTrans1D2" presStyleIdx="5" presStyleCnt="14"/>
      <dgm:spPr/>
    </dgm:pt>
    <dgm:pt modelId="{A07FAD18-20F9-4557-BA80-35BB71DC59CD}" type="pres">
      <dgm:prSet presAssocID="{B4868CD6-2270-438F-AFAF-76D4F12A668F}" presName="childText" presStyleLbl="bgAcc1" presStyleIdx="5" presStyleCnt="14">
        <dgm:presLayoutVars>
          <dgm:bulletEnabled val="1"/>
        </dgm:presLayoutVars>
      </dgm:prSet>
      <dgm:spPr/>
    </dgm:pt>
    <dgm:pt modelId="{6F4B7F89-00FF-4126-B0A2-D05D134C343E}" type="pres">
      <dgm:prSet presAssocID="{10AA5C7E-6BC6-443C-8FF7-46661B32F197}" presName="Name13" presStyleLbl="parChTrans1D2" presStyleIdx="6" presStyleCnt="14"/>
      <dgm:spPr/>
    </dgm:pt>
    <dgm:pt modelId="{53B33B83-B5E1-47A3-BEB3-96AD3824FA4D}" type="pres">
      <dgm:prSet presAssocID="{78194CE1-15EB-4A2B-9F3B-C03D939F7E60}" presName="childText" presStyleLbl="bgAcc1" presStyleIdx="6" presStyleCnt="14">
        <dgm:presLayoutVars>
          <dgm:bulletEnabled val="1"/>
        </dgm:presLayoutVars>
      </dgm:prSet>
      <dgm:spPr/>
    </dgm:pt>
    <dgm:pt modelId="{2FE6BF7C-27B7-417B-AA66-611E8E637C24}" type="pres">
      <dgm:prSet presAssocID="{784A0612-F306-4EC8-8783-C2A863087336}" presName="Name13" presStyleLbl="parChTrans1D2" presStyleIdx="7" presStyleCnt="14"/>
      <dgm:spPr/>
    </dgm:pt>
    <dgm:pt modelId="{CDB9795B-DD03-4E77-838F-96A321D99A56}" type="pres">
      <dgm:prSet presAssocID="{673B4C66-EFD0-4A08-8DA3-1E319B2A40BB}" presName="childText" presStyleLbl="bgAcc1" presStyleIdx="7" presStyleCnt="14">
        <dgm:presLayoutVars>
          <dgm:bulletEnabled val="1"/>
        </dgm:presLayoutVars>
      </dgm:prSet>
      <dgm:spPr/>
    </dgm:pt>
    <dgm:pt modelId="{E1821479-353A-447E-959F-ED0E2AFE8F15}" type="pres">
      <dgm:prSet presAssocID="{3CCB8DB0-2F05-4EEA-90B5-7322312397F7}" presName="root" presStyleCnt="0"/>
      <dgm:spPr/>
    </dgm:pt>
    <dgm:pt modelId="{3302DF51-D2A3-468E-B5B4-EA9834DF2652}" type="pres">
      <dgm:prSet presAssocID="{3CCB8DB0-2F05-4EEA-90B5-7322312397F7}" presName="rootComposite" presStyleCnt="0"/>
      <dgm:spPr/>
    </dgm:pt>
    <dgm:pt modelId="{41F4EC89-CBA5-415A-AD24-617E3FFF4BF6}" type="pres">
      <dgm:prSet presAssocID="{3CCB8DB0-2F05-4EEA-90B5-7322312397F7}" presName="rootText" presStyleLbl="node1" presStyleIdx="2" presStyleCnt="4"/>
      <dgm:spPr/>
    </dgm:pt>
    <dgm:pt modelId="{168058F2-55E3-4EAD-B532-4518BB246FC1}" type="pres">
      <dgm:prSet presAssocID="{3CCB8DB0-2F05-4EEA-90B5-7322312397F7}" presName="rootConnector" presStyleLbl="node1" presStyleIdx="2" presStyleCnt="4"/>
      <dgm:spPr/>
    </dgm:pt>
    <dgm:pt modelId="{99FFFDE3-A111-40F8-8792-D8A0C7882DB4}" type="pres">
      <dgm:prSet presAssocID="{3CCB8DB0-2F05-4EEA-90B5-7322312397F7}" presName="childShape" presStyleCnt="0"/>
      <dgm:spPr/>
    </dgm:pt>
    <dgm:pt modelId="{DA306595-1C62-4719-8222-91833AD0AA31}" type="pres">
      <dgm:prSet presAssocID="{1D34D684-CF0B-4615-BD36-F99B1CA2F92B}" presName="Name13" presStyleLbl="parChTrans1D2" presStyleIdx="8" presStyleCnt="14"/>
      <dgm:spPr/>
    </dgm:pt>
    <dgm:pt modelId="{B185A99B-8ACB-44C6-BA97-7BCC868D04AB}" type="pres">
      <dgm:prSet presAssocID="{590DFD14-112D-4880-B252-7F6884E55FB6}" presName="childText" presStyleLbl="bgAcc1" presStyleIdx="8" presStyleCnt="14">
        <dgm:presLayoutVars>
          <dgm:bulletEnabled val="1"/>
        </dgm:presLayoutVars>
      </dgm:prSet>
      <dgm:spPr/>
    </dgm:pt>
    <dgm:pt modelId="{0B6CDC86-C294-4BEA-AD57-1BDC891AF4BB}" type="pres">
      <dgm:prSet presAssocID="{40EF7FDE-41BF-4BE5-A782-D81688DF1556}" presName="Name13" presStyleLbl="parChTrans1D2" presStyleIdx="9" presStyleCnt="14"/>
      <dgm:spPr/>
    </dgm:pt>
    <dgm:pt modelId="{0F09D6F1-46FB-46CD-A636-C40911A00A69}" type="pres">
      <dgm:prSet presAssocID="{26E6B6FD-C9C9-4EE3-83AB-2B8270450BB6}" presName="childText" presStyleLbl="bgAcc1" presStyleIdx="9" presStyleCnt="14">
        <dgm:presLayoutVars>
          <dgm:bulletEnabled val="1"/>
        </dgm:presLayoutVars>
      </dgm:prSet>
      <dgm:spPr/>
    </dgm:pt>
    <dgm:pt modelId="{EF9C90C7-93A2-4871-A6E2-698AB578B6D3}" type="pres">
      <dgm:prSet presAssocID="{4FD23F49-9BD5-4A88-B216-A3532F098C11}" presName="Name13" presStyleLbl="parChTrans1D2" presStyleIdx="10" presStyleCnt="14"/>
      <dgm:spPr/>
    </dgm:pt>
    <dgm:pt modelId="{602378B9-9FC4-4FCF-9242-51856FC92C18}" type="pres">
      <dgm:prSet presAssocID="{002E3702-F778-473D-B885-592C5BFE79F3}" presName="childText" presStyleLbl="bgAcc1" presStyleIdx="10" presStyleCnt="14">
        <dgm:presLayoutVars>
          <dgm:bulletEnabled val="1"/>
        </dgm:presLayoutVars>
      </dgm:prSet>
      <dgm:spPr/>
    </dgm:pt>
    <dgm:pt modelId="{EA3DD8D5-87B0-4272-BBF4-52264BD5569C}" type="pres">
      <dgm:prSet presAssocID="{FC87FF1B-1D14-4283-A1D7-4556DD92B3D2}" presName="Name13" presStyleLbl="parChTrans1D2" presStyleIdx="11" presStyleCnt="14"/>
      <dgm:spPr/>
    </dgm:pt>
    <dgm:pt modelId="{B34A5512-F892-47B6-8011-4609DBF4D565}" type="pres">
      <dgm:prSet presAssocID="{E98604CF-B8C7-4D37-AEA1-76BD3B419B24}" presName="childText" presStyleLbl="bgAcc1" presStyleIdx="11" presStyleCnt="14">
        <dgm:presLayoutVars>
          <dgm:bulletEnabled val="1"/>
        </dgm:presLayoutVars>
      </dgm:prSet>
      <dgm:spPr/>
    </dgm:pt>
    <dgm:pt modelId="{BD501FB4-7782-42DE-96C9-528B07F1CF15}" type="pres">
      <dgm:prSet presAssocID="{5F2C4D40-44F2-4459-A208-092A633530B4}" presName="Name13" presStyleLbl="parChTrans1D2" presStyleIdx="12" presStyleCnt="14"/>
      <dgm:spPr/>
    </dgm:pt>
    <dgm:pt modelId="{74C6D1DD-3B91-4A9F-9E6A-DC51C2AEA735}" type="pres">
      <dgm:prSet presAssocID="{3B937C96-83CD-4746-BB6E-4DE45AA2FC9B}" presName="childText" presStyleLbl="bgAcc1" presStyleIdx="12" presStyleCnt="14">
        <dgm:presLayoutVars>
          <dgm:bulletEnabled val="1"/>
        </dgm:presLayoutVars>
      </dgm:prSet>
      <dgm:spPr/>
    </dgm:pt>
    <dgm:pt modelId="{F808309C-D0AD-4393-9788-D5E9F56AEA22}" type="pres">
      <dgm:prSet presAssocID="{14516A2F-18A1-46AE-A026-0CD3C091BDD2}" presName="root" presStyleCnt="0"/>
      <dgm:spPr/>
    </dgm:pt>
    <dgm:pt modelId="{AA309B7F-A7AC-41E2-B65D-07E0D47F9EA6}" type="pres">
      <dgm:prSet presAssocID="{14516A2F-18A1-46AE-A026-0CD3C091BDD2}" presName="rootComposite" presStyleCnt="0"/>
      <dgm:spPr/>
    </dgm:pt>
    <dgm:pt modelId="{046D73D9-EE08-4543-8BF3-2F5702FA3A59}" type="pres">
      <dgm:prSet presAssocID="{14516A2F-18A1-46AE-A026-0CD3C091BDD2}" presName="rootText" presStyleLbl="node1" presStyleIdx="3" presStyleCnt="4"/>
      <dgm:spPr/>
    </dgm:pt>
    <dgm:pt modelId="{F0241D22-20C6-49F5-9388-663A4BA91860}" type="pres">
      <dgm:prSet presAssocID="{14516A2F-18A1-46AE-A026-0CD3C091BDD2}" presName="rootConnector" presStyleLbl="node1" presStyleIdx="3" presStyleCnt="4"/>
      <dgm:spPr/>
    </dgm:pt>
    <dgm:pt modelId="{7DAAB103-C238-4C0E-9FD2-B8CFEA1A76F3}" type="pres">
      <dgm:prSet presAssocID="{14516A2F-18A1-46AE-A026-0CD3C091BDD2}" presName="childShape" presStyleCnt="0"/>
      <dgm:spPr/>
    </dgm:pt>
    <dgm:pt modelId="{BC9DF72F-F602-4834-B6A1-6816361D8E09}" type="pres">
      <dgm:prSet presAssocID="{5F4A8916-3BE3-49CE-8E13-CF4338E9A7FF}" presName="Name13" presStyleLbl="parChTrans1D2" presStyleIdx="13" presStyleCnt="14"/>
      <dgm:spPr/>
    </dgm:pt>
    <dgm:pt modelId="{BA72C7F7-865E-4E78-B763-2504D8C5B9DF}" type="pres">
      <dgm:prSet presAssocID="{284283C3-80D9-4F2D-BBEF-D7093D13A9AA}" presName="childText" presStyleLbl="bgAcc1" presStyleIdx="13" presStyleCnt="14">
        <dgm:presLayoutVars>
          <dgm:bulletEnabled val="1"/>
        </dgm:presLayoutVars>
      </dgm:prSet>
      <dgm:spPr/>
    </dgm:pt>
  </dgm:ptLst>
  <dgm:cxnLst>
    <dgm:cxn modelId="{5B75AD04-B284-4D6A-AFBF-CFDA10188EC1}" srcId="{0FFDA6D1-7125-4E0F-BAD9-0D644CE49073}" destId="{E4E8A47B-F4EF-4BB2-AA25-600EE6F94737}" srcOrd="0" destOrd="0" parTransId="{92A6FA33-8A35-45E9-B7F0-EA81B2C79DCC}" sibTransId="{2CBF2C4A-FD7F-42B2-A4D6-FBB7ABE945FC}"/>
    <dgm:cxn modelId="{71E04F09-998B-43DE-A0CE-05955A608111}" type="presOf" srcId="{0FFDA6D1-7125-4E0F-BAD9-0D644CE49073}" destId="{E37512D3-AC8D-4C1C-AC85-060F7D3D85A8}" srcOrd="1" destOrd="0" presId="urn:microsoft.com/office/officeart/2005/8/layout/hierarchy3"/>
    <dgm:cxn modelId="{00C4A80B-4D06-4635-9BEC-3A1428D0154B}" type="presOf" srcId="{40EF7FDE-41BF-4BE5-A782-D81688DF1556}" destId="{0B6CDC86-C294-4BEA-AD57-1BDC891AF4BB}" srcOrd="0" destOrd="0" presId="urn:microsoft.com/office/officeart/2005/8/layout/hierarchy3"/>
    <dgm:cxn modelId="{ABEDF90C-8215-4BFA-96E3-6375486845D9}" srcId="{926B6A4E-8453-455E-85DB-0AFBE3286668}" destId="{A89354FE-6A1D-49F7-83E0-BE2EB324284D}" srcOrd="2" destOrd="0" parTransId="{FD70A921-45F6-47D3-925F-5248B09FC8CC}" sibTransId="{71ABE640-1531-4BB0-993A-F940F90B7F5F}"/>
    <dgm:cxn modelId="{C299190D-8CE7-4177-BAF8-2A485ECEECB3}" type="presOf" srcId="{14516A2F-18A1-46AE-A026-0CD3C091BDD2}" destId="{F0241D22-20C6-49F5-9388-663A4BA91860}" srcOrd="1" destOrd="0" presId="urn:microsoft.com/office/officeart/2005/8/layout/hierarchy3"/>
    <dgm:cxn modelId="{FFB14D0D-8A56-4A01-972D-7E65E96B6052}" srcId="{14516A2F-18A1-46AE-A026-0CD3C091BDD2}" destId="{284283C3-80D9-4F2D-BBEF-D7093D13A9AA}" srcOrd="0" destOrd="0" parTransId="{5F4A8916-3BE3-49CE-8E13-CF4338E9A7FF}" sibTransId="{EB62A3D5-B107-4879-BED4-0868250CE1F9}"/>
    <dgm:cxn modelId="{E29DB60D-EC65-4B50-8BD4-E94732C3E8AC}" srcId="{AAD883B3-601B-4D11-981F-B5ED1E5AEBBA}" destId="{0FFDA6D1-7125-4E0F-BAD9-0D644CE49073}" srcOrd="1" destOrd="0" parTransId="{D0E224F2-27D1-423A-8725-D555DC9E9887}" sibTransId="{F8818902-E71A-4FDB-B300-BDC997F2A4B1}"/>
    <dgm:cxn modelId="{CE5B3611-E1CC-4FB2-A6D7-F4906D719410}" type="presOf" srcId="{AAD883B3-601B-4D11-981F-B5ED1E5AEBBA}" destId="{E4C86F69-E645-4CB2-95FA-5B9E12FB79F7}" srcOrd="0" destOrd="0" presId="urn:microsoft.com/office/officeart/2005/8/layout/hierarchy3"/>
    <dgm:cxn modelId="{99F38311-AB2D-4B9B-9629-0D349A713E47}" type="presOf" srcId="{0AC10623-2D25-404B-BAA3-8DD42E850EA8}" destId="{12AEAB6F-AB41-49FA-9AFF-2EEFD6F6C2C7}" srcOrd="0" destOrd="0" presId="urn:microsoft.com/office/officeart/2005/8/layout/hierarchy3"/>
    <dgm:cxn modelId="{74A55517-8295-4B23-BCA5-0D483C537CE9}" type="presOf" srcId="{92A6FA33-8A35-45E9-B7F0-EA81B2C79DCC}" destId="{FA9A8413-9069-4340-AF2E-952F710457BE}" srcOrd="0" destOrd="0" presId="urn:microsoft.com/office/officeart/2005/8/layout/hierarchy3"/>
    <dgm:cxn modelId="{786C4918-C991-4DBF-970C-3BB35333DE10}" type="presOf" srcId="{A89354FE-6A1D-49F7-83E0-BE2EB324284D}" destId="{18BBF26F-1CA0-4E85-B42B-A90409B84220}" srcOrd="0" destOrd="0" presId="urn:microsoft.com/office/officeart/2005/8/layout/hierarchy3"/>
    <dgm:cxn modelId="{92EAE51C-3C7F-4444-B179-03C0F29B0FA4}" srcId="{3CCB8DB0-2F05-4EEA-90B5-7322312397F7}" destId="{E98604CF-B8C7-4D37-AEA1-76BD3B419B24}" srcOrd="3" destOrd="0" parTransId="{FC87FF1B-1D14-4283-A1D7-4556DD92B3D2}" sibTransId="{C86F54DF-69E5-4283-8151-BA331F8A43AD}"/>
    <dgm:cxn modelId="{0DDD3628-4642-423F-9B62-408B610B70B7}" srcId="{3CCB8DB0-2F05-4EEA-90B5-7322312397F7}" destId="{26E6B6FD-C9C9-4EE3-83AB-2B8270450BB6}" srcOrd="1" destOrd="0" parTransId="{40EF7FDE-41BF-4BE5-A782-D81688DF1556}" sibTransId="{14FCD6BA-C36A-4165-8675-4C63766B1556}"/>
    <dgm:cxn modelId="{87176C29-0508-4A8B-84A7-310589743713}" srcId="{AAD883B3-601B-4D11-981F-B5ED1E5AEBBA}" destId="{926B6A4E-8453-455E-85DB-0AFBE3286668}" srcOrd="0" destOrd="0" parTransId="{2EDED404-8078-4C3C-BD49-89878E91B74B}" sibTransId="{7A476FE6-5144-4F1D-81E4-984FBE14FC02}"/>
    <dgm:cxn modelId="{F0029A2D-3FC4-4DC6-8FE0-279C65A9820E}" type="presOf" srcId="{B4868CD6-2270-438F-AFAF-76D4F12A668F}" destId="{A07FAD18-20F9-4557-BA80-35BB71DC59CD}" srcOrd="0" destOrd="0" presId="urn:microsoft.com/office/officeart/2005/8/layout/hierarchy3"/>
    <dgm:cxn modelId="{BC94F82E-0B63-40CA-82B2-2B5BF61A6AF2}" type="presOf" srcId="{237652CF-7CD8-4ACD-B41C-FFAB93A7366E}" destId="{17A20D5D-3598-4AA6-809A-6288B51E3C02}" srcOrd="0" destOrd="0" presId="urn:microsoft.com/office/officeart/2005/8/layout/hierarchy3"/>
    <dgm:cxn modelId="{01902C30-9266-48ED-8EE9-85A4DAAB3CC7}" type="presOf" srcId="{145654C9-8F3B-4759-91B8-D12F3B07E573}" destId="{F25ECFAB-D6A1-4493-9348-B63D3B4F116F}" srcOrd="0" destOrd="0" presId="urn:microsoft.com/office/officeart/2005/8/layout/hierarchy3"/>
    <dgm:cxn modelId="{9B50B337-FECD-48E5-9AFB-032318CE8FA7}" type="presOf" srcId="{3CCB8DB0-2F05-4EEA-90B5-7322312397F7}" destId="{168058F2-55E3-4EAD-B532-4518BB246FC1}" srcOrd="1" destOrd="0" presId="urn:microsoft.com/office/officeart/2005/8/layout/hierarchy3"/>
    <dgm:cxn modelId="{471D695D-1391-4B58-A25E-4172E04F7EB6}" srcId="{926B6A4E-8453-455E-85DB-0AFBE3286668}" destId="{237652CF-7CD8-4ACD-B41C-FFAB93A7366E}" srcOrd="3" destOrd="0" parTransId="{145654C9-8F3B-4759-91B8-D12F3B07E573}" sibTransId="{6D5DDABF-FD0F-4A7A-9E67-1B65AB2E28D6}"/>
    <dgm:cxn modelId="{D3CA6C5E-8E81-4522-9639-4B2DF0520DB1}" type="presOf" srcId="{10AA5C7E-6BC6-443C-8FF7-46661B32F197}" destId="{6F4B7F89-00FF-4126-B0A2-D05D134C343E}" srcOrd="0" destOrd="0" presId="urn:microsoft.com/office/officeart/2005/8/layout/hierarchy3"/>
    <dgm:cxn modelId="{E2CB5561-9855-4554-B332-9FF0D6D74516}" type="presOf" srcId="{926B6A4E-8453-455E-85DB-0AFBE3286668}" destId="{A58197E9-6083-4782-987B-C8C5AE2F5D5B}" srcOrd="0" destOrd="0" presId="urn:microsoft.com/office/officeart/2005/8/layout/hierarchy3"/>
    <dgm:cxn modelId="{D50A2562-507D-4299-B92F-D5B9DCFD1336}" srcId="{3CCB8DB0-2F05-4EEA-90B5-7322312397F7}" destId="{590DFD14-112D-4880-B252-7F6884E55FB6}" srcOrd="0" destOrd="0" parTransId="{1D34D684-CF0B-4615-BD36-F99B1CA2F92B}" sibTransId="{F56B2315-01A5-430A-B38C-BF804C055D88}"/>
    <dgm:cxn modelId="{65EB0A48-5A85-4ACC-BDE1-34C860D49F14}" type="presOf" srcId="{3B937C96-83CD-4746-BB6E-4DE45AA2FC9B}" destId="{74C6D1DD-3B91-4A9F-9E6A-DC51C2AEA735}" srcOrd="0" destOrd="0" presId="urn:microsoft.com/office/officeart/2005/8/layout/hierarchy3"/>
    <dgm:cxn modelId="{47C77468-D33F-4D2C-A82E-BFF5D27C4E77}" srcId="{AAD883B3-601B-4D11-981F-B5ED1E5AEBBA}" destId="{14516A2F-18A1-46AE-A026-0CD3C091BDD2}" srcOrd="3" destOrd="0" parTransId="{AF6E9DCB-6DE5-4FFC-9EC0-236ED2BB521A}" sibTransId="{A2C214C8-3CD3-48E3-AFA9-44A263E68200}"/>
    <dgm:cxn modelId="{192A1F49-F6A2-42E7-9683-4D2E3E7035A9}" type="presOf" srcId="{284283C3-80D9-4F2D-BBEF-D7093D13A9AA}" destId="{BA72C7F7-865E-4E78-B763-2504D8C5B9DF}" srcOrd="0" destOrd="0" presId="urn:microsoft.com/office/officeart/2005/8/layout/hierarchy3"/>
    <dgm:cxn modelId="{D9EC3B4E-FB9F-4515-86C5-28A813F40B51}" type="presOf" srcId="{26E6B6FD-C9C9-4EE3-83AB-2B8270450BB6}" destId="{0F09D6F1-46FB-46CD-A636-C40911A00A69}" srcOrd="0" destOrd="0" presId="urn:microsoft.com/office/officeart/2005/8/layout/hierarchy3"/>
    <dgm:cxn modelId="{208DB770-AED0-4DBE-A329-466D390F7266}" srcId="{0FFDA6D1-7125-4E0F-BAD9-0D644CE49073}" destId="{673B4C66-EFD0-4A08-8DA3-1E319B2A40BB}" srcOrd="3" destOrd="0" parTransId="{784A0612-F306-4EC8-8783-C2A863087336}" sibTransId="{F1CF41B5-865B-44AE-9AE9-62F99954B314}"/>
    <dgm:cxn modelId="{AD303A73-B38A-435D-9A91-DEF9DFD365DA}" type="presOf" srcId="{3CCB8DB0-2F05-4EEA-90B5-7322312397F7}" destId="{41F4EC89-CBA5-415A-AD24-617E3FFF4BF6}" srcOrd="0" destOrd="0" presId="urn:microsoft.com/office/officeart/2005/8/layout/hierarchy3"/>
    <dgm:cxn modelId="{50C9C773-C95B-4A0C-AB6D-F22B52EDAE05}" type="presOf" srcId="{FD70A921-45F6-47D3-925F-5248B09FC8CC}" destId="{455714B7-3B86-4D18-8A00-CF2739D3FEA9}" srcOrd="0" destOrd="0" presId="urn:microsoft.com/office/officeart/2005/8/layout/hierarchy3"/>
    <dgm:cxn modelId="{25474374-5795-4313-8DB8-AA9FAC7B55F5}" type="presOf" srcId="{0FFDA6D1-7125-4E0F-BAD9-0D644CE49073}" destId="{26E9F9D7-65CC-46A3-80CA-E06FA1BDBD8D}" srcOrd="0" destOrd="0" presId="urn:microsoft.com/office/officeart/2005/8/layout/hierarchy3"/>
    <dgm:cxn modelId="{D5936C54-F656-4C83-B664-41C3E3A87FA0}" type="presOf" srcId="{78194CE1-15EB-4A2B-9F3B-C03D939F7E60}" destId="{53B33B83-B5E1-47A3-BEB3-96AD3824FA4D}" srcOrd="0" destOrd="0" presId="urn:microsoft.com/office/officeart/2005/8/layout/hierarchy3"/>
    <dgm:cxn modelId="{FA4E397C-AA0F-44C4-B514-14B41BF09A38}" srcId="{0FFDA6D1-7125-4E0F-BAD9-0D644CE49073}" destId="{B4868CD6-2270-438F-AFAF-76D4F12A668F}" srcOrd="1" destOrd="0" parTransId="{804AA71B-4EB7-4282-9529-7C525E2B9CA3}" sibTransId="{45EF2DF5-420D-4FCC-BBA3-58DBC5D16C27}"/>
    <dgm:cxn modelId="{08B90D7E-EEE0-47F6-8208-1F2D750E826F}" type="presOf" srcId="{673B4C66-EFD0-4A08-8DA3-1E319B2A40BB}" destId="{CDB9795B-DD03-4E77-838F-96A321D99A56}" srcOrd="0" destOrd="0" presId="urn:microsoft.com/office/officeart/2005/8/layout/hierarchy3"/>
    <dgm:cxn modelId="{E9548990-ED83-4C07-A8D3-48069B341AFB}" type="presOf" srcId="{002E3702-F778-473D-B885-592C5BFE79F3}" destId="{602378B9-9FC4-4FCF-9242-51856FC92C18}" srcOrd="0" destOrd="0" presId="urn:microsoft.com/office/officeart/2005/8/layout/hierarchy3"/>
    <dgm:cxn modelId="{154BE692-1D42-4504-B905-8FDC9BC04C7F}" type="presOf" srcId="{1D34D684-CF0B-4615-BD36-F99B1CA2F92B}" destId="{DA306595-1C62-4719-8222-91833AD0AA31}" srcOrd="0" destOrd="0" presId="urn:microsoft.com/office/officeart/2005/8/layout/hierarchy3"/>
    <dgm:cxn modelId="{D2F65C99-6AB7-42AE-B709-99ACD88E7352}" srcId="{926B6A4E-8453-455E-85DB-0AFBE3286668}" destId="{D475AC8A-C901-464A-973A-E43B49F3CC4A}" srcOrd="0" destOrd="0" parTransId="{0AC10623-2D25-404B-BAA3-8DD42E850EA8}" sibTransId="{B43A7FC3-AFCE-4B22-A278-102C253D05E1}"/>
    <dgm:cxn modelId="{687E2C9C-DA94-4AF6-AF0D-9206AB6E5FD7}" type="presOf" srcId="{E4E8A47B-F4EF-4BB2-AA25-600EE6F94737}" destId="{0C9ABA58-8D03-409E-ACB5-4D52207FCCD6}" srcOrd="0" destOrd="0" presId="urn:microsoft.com/office/officeart/2005/8/layout/hierarchy3"/>
    <dgm:cxn modelId="{678D90A3-5473-44E5-B1AA-62C0E96B3BB6}" type="presOf" srcId="{D475AC8A-C901-464A-973A-E43B49F3CC4A}" destId="{9A36FEA1-B6D9-4272-9379-20A238532315}" srcOrd="0" destOrd="0" presId="urn:microsoft.com/office/officeart/2005/8/layout/hierarchy3"/>
    <dgm:cxn modelId="{02FFECAD-BFB8-4914-97AE-A30C8043CC0B}" srcId="{3CCB8DB0-2F05-4EEA-90B5-7322312397F7}" destId="{002E3702-F778-473D-B885-592C5BFE79F3}" srcOrd="2" destOrd="0" parTransId="{4FD23F49-9BD5-4A88-B216-A3532F098C11}" sibTransId="{07D603D3-7FDA-4B7B-B523-FFF3BE1E1416}"/>
    <dgm:cxn modelId="{20DA39B4-2E4B-48A2-A27D-DACA55DA7080}" srcId="{AAD883B3-601B-4D11-981F-B5ED1E5AEBBA}" destId="{3CCB8DB0-2F05-4EEA-90B5-7322312397F7}" srcOrd="2" destOrd="0" parTransId="{B43FE91A-3540-4BEC-81BE-358EA1D593A5}" sibTransId="{35A04863-425A-454B-8C12-0C8C3526A6F4}"/>
    <dgm:cxn modelId="{4E8AF9B9-390C-4BEF-B29E-805A3E2802B2}" type="presOf" srcId="{590DFD14-112D-4880-B252-7F6884E55FB6}" destId="{B185A99B-8ACB-44C6-BA97-7BCC868D04AB}" srcOrd="0" destOrd="0" presId="urn:microsoft.com/office/officeart/2005/8/layout/hierarchy3"/>
    <dgm:cxn modelId="{45AD6CBD-2A73-470C-A0EE-BA835270F3AF}" type="presOf" srcId="{784A0612-F306-4EC8-8783-C2A863087336}" destId="{2FE6BF7C-27B7-417B-AA66-611E8E637C24}" srcOrd="0" destOrd="0" presId="urn:microsoft.com/office/officeart/2005/8/layout/hierarchy3"/>
    <dgm:cxn modelId="{D78134BF-19B5-46D0-9313-A9DEBC11F7D9}" type="presOf" srcId="{804AA71B-4EB7-4282-9529-7C525E2B9CA3}" destId="{90A7EC9F-6D71-4E17-8C1C-46B3BC230642}" srcOrd="0" destOrd="0" presId="urn:microsoft.com/office/officeart/2005/8/layout/hierarchy3"/>
    <dgm:cxn modelId="{7029C7C2-D89C-4944-86F7-9E52E1FB6DDE}" type="presOf" srcId="{5F2C4D40-44F2-4459-A208-092A633530B4}" destId="{BD501FB4-7782-42DE-96C9-528B07F1CF15}" srcOrd="0" destOrd="0" presId="urn:microsoft.com/office/officeart/2005/8/layout/hierarchy3"/>
    <dgm:cxn modelId="{C0CCBDD3-A9FE-440F-A1B1-C48CC186933D}" srcId="{926B6A4E-8453-455E-85DB-0AFBE3286668}" destId="{DD4F8B61-BC35-447B-81E1-73D3D8DBDD1F}" srcOrd="1" destOrd="0" parTransId="{D04CB7AA-57E9-48AD-BFBC-E159ACE179CB}" sibTransId="{925FD25D-BD4C-4881-AF08-47A9A6CAAD54}"/>
    <dgm:cxn modelId="{A78867D6-5290-45C5-8F84-9CD919AA987A}" type="presOf" srcId="{926B6A4E-8453-455E-85DB-0AFBE3286668}" destId="{0287D7F7-12D2-414C-AA14-1494202FA298}" srcOrd="1" destOrd="0" presId="urn:microsoft.com/office/officeart/2005/8/layout/hierarchy3"/>
    <dgm:cxn modelId="{3037CFD9-B91A-4BC3-9A16-D20BC48A898B}" type="presOf" srcId="{5F4A8916-3BE3-49CE-8E13-CF4338E9A7FF}" destId="{BC9DF72F-F602-4834-B6A1-6816361D8E09}" srcOrd="0" destOrd="0" presId="urn:microsoft.com/office/officeart/2005/8/layout/hierarchy3"/>
    <dgm:cxn modelId="{C6CE09DA-DD7A-4A18-9FFE-DE7757E95BBD}" type="presOf" srcId="{FC87FF1B-1D14-4283-A1D7-4556DD92B3D2}" destId="{EA3DD8D5-87B0-4272-BBF4-52264BD5569C}" srcOrd="0" destOrd="0" presId="urn:microsoft.com/office/officeart/2005/8/layout/hierarchy3"/>
    <dgm:cxn modelId="{C43949DB-968B-42D4-B65D-1D1F40379E64}" type="presOf" srcId="{D04CB7AA-57E9-48AD-BFBC-E159ACE179CB}" destId="{F828DA14-D086-4791-8279-10DC98D63A31}" srcOrd="0" destOrd="0" presId="urn:microsoft.com/office/officeart/2005/8/layout/hierarchy3"/>
    <dgm:cxn modelId="{C64914DC-4030-4970-BE09-3A0433A57E5E}" srcId="{0FFDA6D1-7125-4E0F-BAD9-0D644CE49073}" destId="{78194CE1-15EB-4A2B-9F3B-C03D939F7E60}" srcOrd="2" destOrd="0" parTransId="{10AA5C7E-6BC6-443C-8FF7-46661B32F197}" sibTransId="{37A65BFD-6729-485F-82B1-EC32E7063FE0}"/>
    <dgm:cxn modelId="{1F43E0DD-F199-42C2-9BB5-A41ADDD89AEF}" type="presOf" srcId="{E98604CF-B8C7-4D37-AEA1-76BD3B419B24}" destId="{B34A5512-F892-47B6-8011-4609DBF4D565}" srcOrd="0" destOrd="0" presId="urn:microsoft.com/office/officeart/2005/8/layout/hierarchy3"/>
    <dgm:cxn modelId="{709365E0-5EC2-4249-AC85-60625F30713A}" type="presOf" srcId="{14516A2F-18A1-46AE-A026-0CD3C091BDD2}" destId="{046D73D9-EE08-4543-8BF3-2F5702FA3A59}" srcOrd="0" destOrd="0" presId="urn:microsoft.com/office/officeart/2005/8/layout/hierarchy3"/>
    <dgm:cxn modelId="{72A5A4EF-0B96-432C-8D63-540DD611C1A2}" type="presOf" srcId="{DD4F8B61-BC35-447B-81E1-73D3D8DBDD1F}" destId="{DFBB1C85-A688-49C1-A3EB-B56AB91E4E4F}" srcOrd="0" destOrd="0" presId="urn:microsoft.com/office/officeart/2005/8/layout/hierarchy3"/>
    <dgm:cxn modelId="{6E5E2EFF-67BB-4B14-A8CC-075D7C5DEE67}" type="presOf" srcId="{4FD23F49-9BD5-4A88-B216-A3532F098C11}" destId="{EF9C90C7-93A2-4871-A6E2-698AB578B6D3}" srcOrd="0" destOrd="0" presId="urn:microsoft.com/office/officeart/2005/8/layout/hierarchy3"/>
    <dgm:cxn modelId="{CAD3B3FF-A43A-4CD6-AEDD-1E4704C8D4C5}" srcId="{3CCB8DB0-2F05-4EEA-90B5-7322312397F7}" destId="{3B937C96-83CD-4746-BB6E-4DE45AA2FC9B}" srcOrd="4" destOrd="0" parTransId="{5F2C4D40-44F2-4459-A208-092A633530B4}" sibTransId="{2DCA18C9-3D61-482B-A9E2-2C52C7E0EC09}"/>
    <dgm:cxn modelId="{E1E11DE1-E245-4BF6-9915-B03A72CBF448}" type="presParOf" srcId="{E4C86F69-E645-4CB2-95FA-5B9E12FB79F7}" destId="{ACCA27F5-809F-4CC7-B417-264A08BEBCE9}" srcOrd="0" destOrd="0" presId="urn:microsoft.com/office/officeart/2005/8/layout/hierarchy3"/>
    <dgm:cxn modelId="{B42B96B8-119F-4B0B-9F69-4E74A8BC21B1}" type="presParOf" srcId="{ACCA27F5-809F-4CC7-B417-264A08BEBCE9}" destId="{1AC8754A-1286-4307-934B-053F25A5D9F8}" srcOrd="0" destOrd="0" presId="urn:microsoft.com/office/officeart/2005/8/layout/hierarchy3"/>
    <dgm:cxn modelId="{5212F755-FEFF-4DF8-8436-9E29F45B64C6}" type="presParOf" srcId="{1AC8754A-1286-4307-934B-053F25A5D9F8}" destId="{A58197E9-6083-4782-987B-C8C5AE2F5D5B}" srcOrd="0" destOrd="0" presId="urn:microsoft.com/office/officeart/2005/8/layout/hierarchy3"/>
    <dgm:cxn modelId="{E7944F3C-9581-40B4-8F74-974288AB1B13}" type="presParOf" srcId="{1AC8754A-1286-4307-934B-053F25A5D9F8}" destId="{0287D7F7-12D2-414C-AA14-1494202FA298}" srcOrd="1" destOrd="0" presId="urn:microsoft.com/office/officeart/2005/8/layout/hierarchy3"/>
    <dgm:cxn modelId="{2885ED41-2E8F-43BE-85C9-5312855AEBF7}" type="presParOf" srcId="{ACCA27F5-809F-4CC7-B417-264A08BEBCE9}" destId="{E79E739F-2407-47DC-84C9-618FC8AFBB4F}" srcOrd="1" destOrd="0" presId="urn:microsoft.com/office/officeart/2005/8/layout/hierarchy3"/>
    <dgm:cxn modelId="{14FED828-8C95-4A18-84B0-27CE5A0FF095}" type="presParOf" srcId="{E79E739F-2407-47DC-84C9-618FC8AFBB4F}" destId="{12AEAB6F-AB41-49FA-9AFF-2EEFD6F6C2C7}" srcOrd="0" destOrd="0" presId="urn:microsoft.com/office/officeart/2005/8/layout/hierarchy3"/>
    <dgm:cxn modelId="{538A6A7E-02A0-4C5A-9F39-B93BC3F95362}" type="presParOf" srcId="{E79E739F-2407-47DC-84C9-618FC8AFBB4F}" destId="{9A36FEA1-B6D9-4272-9379-20A238532315}" srcOrd="1" destOrd="0" presId="urn:microsoft.com/office/officeart/2005/8/layout/hierarchy3"/>
    <dgm:cxn modelId="{29E143BA-1E44-417A-9C63-7942010E985D}" type="presParOf" srcId="{E79E739F-2407-47DC-84C9-618FC8AFBB4F}" destId="{F828DA14-D086-4791-8279-10DC98D63A31}" srcOrd="2" destOrd="0" presId="urn:microsoft.com/office/officeart/2005/8/layout/hierarchy3"/>
    <dgm:cxn modelId="{AC68402B-FF5E-46E0-A71C-CDDD4019DC48}" type="presParOf" srcId="{E79E739F-2407-47DC-84C9-618FC8AFBB4F}" destId="{DFBB1C85-A688-49C1-A3EB-B56AB91E4E4F}" srcOrd="3" destOrd="0" presId="urn:microsoft.com/office/officeart/2005/8/layout/hierarchy3"/>
    <dgm:cxn modelId="{56129EE7-A368-4D92-AB14-96EBDA270757}" type="presParOf" srcId="{E79E739F-2407-47DC-84C9-618FC8AFBB4F}" destId="{455714B7-3B86-4D18-8A00-CF2739D3FEA9}" srcOrd="4" destOrd="0" presId="urn:microsoft.com/office/officeart/2005/8/layout/hierarchy3"/>
    <dgm:cxn modelId="{F1DA2E9D-0A49-4D5C-AAC5-DAFF894F490C}" type="presParOf" srcId="{E79E739F-2407-47DC-84C9-618FC8AFBB4F}" destId="{18BBF26F-1CA0-4E85-B42B-A90409B84220}" srcOrd="5" destOrd="0" presId="urn:microsoft.com/office/officeart/2005/8/layout/hierarchy3"/>
    <dgm:cxn modelId="{71EB9587-38D0-437E-84B8-AC847EA20EF7}" type="presParOf" srcId="{E79E739F-2407-47DC-84C9-618FC8AFBB4F}" destId="{F25ECFAB-D6A1-4493-9348-B63D3B4F116F}" srcOrd="6" destOrd="0" presId="urn:microsoft.com/office/officeart/2005/8/layout/hierarchy3"/>
    <dgm:cxn modelId="{1E0D8E99-8604-4A35-8F67-33907D6C1CCB}" type="presParOf" srcId="{E79E739F-2407-47DC-84C9-618FC8AFBB4F}" destId="{17A20D5D-3598-4AA6-809A-6288B51E3C02}" srcOrd="7" destOrd="0" presId="urn:microsoft.com/office/officeart/2005/8/layout/hierarchy3"/>
    <dgm:cxn modelId="{911A7666-5DF4-41EF-A08D-B28FE1096EF6}" type="presParOf" srcId="{E4C86F69-E645-4CB2-95FA-5B9E12FB79F7}" destId="{A0F402D4-0D61-497A-B2B7-9E6A99E51368}" srcOrd="1" destOrd="0" presId="urn:microsoft.com/office/officeart/2005/8/layout/hierarchy3"/>
    <dgm:cxn modelId="{31E7AF00-C18E-423B-8E95-AF2AC76906D5}" type="presParOf" srcId="{A0F402D4-0D61-497A-B2B7-9E6A99E51368}" destId="{29AB3364-E28C-4DF5-A9D1-142EC4479C9F}" srcOrd="0" destOrd="0" presId="urn:microsoft.com/office/officeart/2005/8/layout/hierarchy3"/>
    <dgm:cxn modelId="{746D7A5B-A1E6-47C4-89A4-16BAF2DC0839}" type="presParOf" srcId="{29AB3364-E28C-4DF5-A9D1-142EC4479C9F}" destId="{26E9F9D7-65CC-46A3-80CA-E06FA1BDBD8D}" srcOrd="0" destOrd="0" presId="urn:microsoft.com/office/officeart/2005/8/layout/hierarchy3"/>
    <dgm:cxn modelId="{28085FA6-E3AD-44A5-8A32-FF656CEE750A}" type="presParOf" srcId="{29AB3364-E28C-4DF5-A9D1-142EC4479C9F}" destId="{E37512D3-AC8D-4C1C-AC85-060F7D3D85A8}" srcOrd="1" destOrd="0" presId="urn:microsoft.com/office/officeart/2005/8/layout/hierarchy3"/>
    <dgm:cxn modelId="{29C25179-204D-4EF5-8639-CDF17598F88C}" type="presParOf" srcId="{A0F402D4-0D61-497A-B2B7-9E6A99E51368}" destId="{E7497C3D-24F4-400E-8B17-9085E19A528D}" srcOrd="1" destOrd="0" presId="urn:microsoft.com/office/officeart/2005/8/layout/hierarchy3"/>
    <dgm:cxn modelId="{55F107DD-EDA1-4927-A294-95E0236D393F}" type="presParOf" srcId="{E7497C3D-24F4-400E-8B17-9085E19A528D}" destId="{FA9A8413-9069-4340-AF2E-952F710457BE}" srcOrd="0" destOrd="0" presId="urn:microsoft.com/office/officeart/2005/8/layout/hierarchy3"/>
    <dgm:cxn modelId="{C2F672FF-9563-4DF7-8404-3F447E05AAD4}" type="presParOf" srcId="{E7497C3D-24F4-400E-8B17-9085E19A528D}" destId="{0C9ABA58-8D03-409E-ACB5-4D52207FCCD6}" srcOrd="1" destOrd="0" presId="urn:microsoft.com/office/officeart/2005/8/layout/hierarchy3"/>
    <dgm:cxn modelId="{ECF8722D-F567-4107-87B5-4F4F6CBA006D}" type="presParOf" srcId="{E7497C3D-24F4-400E-8B17-9085E19A528D}" destId="{90A7EC9F-6D71-4E17-8C1C-46B3BC230642}" srcOrd="2" destOrd="0" presId="urn:microsoft.com/office/officeart/2005/8/layout/hierarchy3"/>
    <dgm:cxn modelId="{8B27590B-7B21-4370-A389-5266EF4FA408}" type="presParOf" srcId="{E7497C3D-24F4-400E-8B17-9085E19A528D}" destId="{A07FAD18-20F9-4557-BA80-35BB71DC59CD}" srcOrd="3" destOrd="0" presId="urn:microsoft.com/office/officeart/2005/8/layout/hierarchy3"/>
    <dgm:cxn modelId="{E793AFEA-1CB0-4BB4-A91C-B341844371F2}" type="presParOf" srcId="{E7497C3D-24F4-400E-8B17-9085E19A528D}" destId="{6F4B7F89-00FF-4126-B0A2-D05D134C343E}" srcOrd="4" destOrd="0" presId="urn:microsoft.com/office/officeart/2005/8/layout/hierarchy3"/>
    <dgm:cxn modelId="{9AC82C14-B144-47FC-8683-585E79CCABB6}" type="presParOf" srcId="{E7497C3D-24F4-400E-8B17-9085E19A528D}" destId="{53B33B83-B5E1-47A3-BEB3-96AD3824FA4D}" srcOrd="5" destOrd="0" presId="urn:microsoft.com/office/officeart/2005/8/layout/hierarchy3"/>
    <dgm:cxn modelId="{CF1099C9-FF08-426B-B9E7-FDE17FA9EB8C}" type="presParOf" srcId="{E7497C3D-24F4-400E-8B17-9085E19A528D}" destId="{2FE6BF7C-27B7-417B-AA66-611E8E637C24}" srcOrd="6" destOrd="0" presId="urn:microsoft.com/office/officeart/2005/8/layout/hierarchy3"/>
    <dgm:cxn modelId="{9DF2D033-3814-48D0-A96E-A3A2011E56C4}" type="presParOf" srcId="{E7497C3D-24F4-400E-8B17-9085E19A528D}" destId="{CDB9795B-DD03-4E77-838F-96A321D99A56}" srcOrd="7" destOrd="0" presId="urn:microsoft.com/office/officeart/2005/8/layout/hierarchy3"/>
    <dgm:cxn modelId="{40B7D6E7-EF74-46ED-A02C-C0C5DD669219}" type="presParOf" srcId="{E4C86F69-E645-4CB2-95FA-5B9E12FB79F7}" destId="{E1821479-353A-447E-959F-ED0E2AFE8F15}" srcOrd="2" destOrd="0" presId="urn:microsoft.com/office/officeart/2005/8/layout/hierarchy3"/>
    <dgm:cxn modelId="{C17E82A8-CA0C-409B-9986-59F6B6544968}" type="presParOf" srcId="{E1821479-353A-447E-959F-ED0E2AFE8F15}" destId="{3302DF51-D2A3-468E-B5B4-EA9834DF2652}" srcOrd="0" destOrd="0" presId="urn:microsoft.com/office/officeart/2005/8/layout/hierarchy3"/>
    <dgm:cxn modelId="{2F033E92-8487-4EBD-84D8-33389B1D8953}" type="presParOf" srcId="{3302DF51-D2A3-468E-B5B4-EA9834DF2652}" destId="{41F4EC89-CBA5-415A-AD24-617E3FFF4BF6}" srcOrd="0" destOrd="0" presId="urn:microsoft.com/office/officeart/2005/8/layout/hierarchy3"/>
    <dgm:cxn modelId="{87411652-E9F7-4A71-85A7-1E70866C917A}" type="presParOf" srcId="{3302DF51-D2A3-468E-B5B4-EA9834DF2652}" destId="{168058F2-55E3-4EAD-B532-4518BB246FC1}" srcOrd="1" destOrd="0" presId="urn:microsoft.com/office/officeart/2005/8/layout/hierarchy3"/>
    <dgm:cxn modelId="{6942781A-6171-4466-B5DF-4F62865E45F6}" type="presParOf" srcId="{E1821479-353A-447E-959F-ED0E2AFE8F15}" destId="{99FFFDE3-A111-40F8-8792-D8A0C7882DB4}" srcOrd="1" destOrd="0" presId="urn:microsoft.com/office/officeart/2005/8/layout/hierarchy3"/>
    <dgm:cxn modelId="{03C89FE1-99FE-4052-A902-CD598D258110}" type="presParOf" srcId="{99FFFDE3-A111-40F8-8792-D8A0C7882DB4}" destId="{DA306595-1C62-4719-8222-91833AD0AA31}" srcOrd="0" destOrd="0" presId="urn:microsoft.com/office/officeart/2005/8/layout/hierarchy3"/>
    <dgm:cxn modelId="{3F347DC9-1F53-4BBF-BF50-1EA49BDB98BD}" type="presParOf" srcId="{99FFFDE3-A111-40F8-8792-D8A0C7882DB4}" destId="{B185A99B-8ACB-44C6-BA97-7BCC868D04AB}" srcOrd="1" destOrd="0" presId="urn:microsoft.com/office/officeart/2005/8/layout/hierarchy3"/>
    <dgm:cxn modelId="{5BA540E0-E882-42C3-8A97-7C3C55CDBCD5}" type="presParOf" srcId="{99FFFDE3-A111-40F8-8792-D8A0C7882DB4}" destId="{0B6CDC86-C294-4BEA-AD57-1BDC891AF4BB}" srcOrd="2" destOrd="0" presId="urn:microsoft.com/office/officeart/2005/8/layout/hierarchy3"/>
    <dgm:cxn modelId="{44324B4D-58D2-4377-AB80-1480287BDD13}" type="presParOf" srcId="{99FFFDE3-A111-40F8-8792-D8A0C7882DB4}" destId="{0F09D6F1-46FB-46CD-A636-C40911A00A69}" srcOrd="3" destOrd="0" presId="urn:microsoft.com/office/officeart/2005/8/layout/hierarchy3"/>
    <dgm:cxn modelId="{32E10148-BA37-43F3-AF6D-A8DBA7D87EA2}" type="presParOf" srcId="{99FFFDE3-A111-40F8-8792-D8A0C7882DB4}" destId="{EF9C90C7-93A2-4871-A6E2-698AB578B6D3}" srcOrd="4" destOrd="0" presId="urn:microsoft.com/office/officeart/2005/8/layout/hierarchy3"/>
    <dgm:cxn modelId="{4993C167-8936-4E73-B98B-4A81618B01D7}" type="presParOf" srcId="{99FFFDE3-A111-40F8-8792-D8A0C7882DB4}" destId="{602378B9-9FC4-4FCF-9242-51856FC92C18}" srcOrd="5" destOrd="0" presId="urn:microsoft.com/office/officeart/2005/8/layout/hierarchy3"/>
    <dgm:cxn modelId="{94EDDB3A-5730-4797-A996-CFA90ACB5428}" type="presParOf" srcId="{99FFFDE3-A111-40F8-8792-D8A0C7882DB4}" destId="{EA3DD8D5-87B0-4272-BBF4-52264BD5569C}" srcOrd="6" destOrd="0" presId="urn:microsoft.com/office/officeart/2005/8/layout/hierarchy3"/>
    <dgm:cxn modelId="{804CB442-678D-4560-8797-033C86DCBE5B}" type="presParOf" srcId="{99FFFDE3-A111-40F8-8792-D8A0C7882DB4}" destId="{B34A5512-F892-47B6-8011-4609DBF4D565}" srcOrd="7" destOrd="0" presId="urn:microsoft.com/office/officeart/2005/8/layout/hierarchy3"/>
    <dgm:cxn modelId="{D42B5103-1DD8-4CD2-BAE1-25141FA58677}" type="presParOf" srcId="{99FFFDE3-A111-40F8-8792-D8A0C7882DB4}" destId="{BD501FB4-7782-42DE-96C9-528B07F1CF15}" srcOrd="8" destOrd="0" presId="urn:microsoft.com/office/officeart/2005/8/layout/hierarchy3"/>
    <dgm:cxn modelId="{4AA5FC24-B926-4474-9AA7-7D522034472A}" type="presParOf" srcId="{99FFFDE3-A111-40F8-8792-D8A0C7882DB4}" destId="{74C6D1DD-3B91-4A9F-9E6A-DC51C2AEA735}" srcOrd="9" destOrd="0" presId="urn:microsoft.com/office/officeart/2005/8/layout/hierarchy3"/>
    <dgm:cxn modelId="{1A1BDA4B-0FD8-401D-B38E-868BF5FC0B08}" type="presParOf" srcId="{E4C86F69-E645-4CB2-95FA-5B9E12FB79F7}" destId="{F808309C-D0AD-4393-9788-D5E9F56AEA22}" srcOrd="3" destOrd="0" presId="urn:microsoft.com/office/officeart/2005/8/layout/hierarchy3"/>
    <dgm:cxn modelId="{EA542B32-990F-4E03-906F-0D3C16172E8D}" type="presParOf" srcId="{F808309C-D0AD-4393-9788-D5E9F56AEA22}" destId="{AA309B7F-A7AC-41E2-B65D-07E0D47F9EA6}" srcOrd="0" destOrd="0" presId="urn:microsoft.com/office/officeart/2005/8/layout/hierarchy3"/>
    <dgm:cxn modelId="{B7C8F058-127D-4601-887E-2076BC9747B5}" type="presParOf" srcId="{AA309B7F-A7AC-41E2-B65D-07E0D47F9EA6}" destId="{046D73D9-EE08-4543-8BF3-2F5702FA3A59}" srcOrd="0" destOrd="0" presId="urn:microsoft.com/office/officeart/2005/8/layout/hierarchy3"/>
    <dgm:cxn modelId="{1BED4DB4-6751-4569-9FE9-4C928115668A}" type="presParOf" srcId="{AA309B7F-A7AC-41E2-B65D-07E0D47F9EA6}" destId="{F0241D22-20C6-49F5-9388-663A4BA91860}" srcOrd="1" destOrd="0" presId="urn:microsoft.com/office/officeart/2005/8/layout/hierarchy3"/>
    <dgm:cxn modelId="{E074BD68-71A7-41A3-8216-8C48C2A7F7C9}" type="presParOf" srcId="{F808309C-D0AD-4393-9788-D5E9F56AEA22}" destId="{7DAAB103-C238-4C0E-9FD2-B8CFEA1A76F3}" srcOrd="1" destOrd="0" presId="urn:microsoft.com/office/officeart/2005/8/layout/hierarchy3"/>
    <dgm:cxn modelId="{8C6A18AE-304A-4F77-82B8-BFF49EFEB116}" type="presParOf" srcId="{7DAAB103-C238-4C0E-9FD2-B8CFEA1A76F3}" destId="{BC9DF72F-F602-4834-B6A1-6816361D8E09}" srcOrd="0" destOrd="0" presId="urn:microsoft.com/office/officeart/2005/8/layout/hierarchy3"/>
    <dgm:cxn modelId="{73917B89-E598-4154-AD2E-74F411568FAC}" type="presParOf" srcId="{7DAAB103-C238-4C0E-9FD2-B8CFEA1A76F3}" destId="{BA72C7F7-865E-4E78-B763-2504D8C5B9DF}" srcOrd="1" destOrd="0" presId="urn:microsoft.com/office/officeart/2005/8/layout/hierarchy3"/>
  </dgm:cxnLst>
  <dgm:bg/>
  <dgm:whole/>
  <dgm:extLst>
    <a:ext uri="http://schemas.microsoft.com/office/drawing/2008/diagram">
      <dsp:dataModelExt xmlns:dsp="http://schemas.microsoft.com/office/drawing/2008/diagram" relId="rId5" minVer="http://schemas.openxmlformats.org/drawingml/2006/diagram"/>
    </a:ext>
    <a:ext uri="{C62137D5-CB1D-491B-B009-E17868A290BF}">
      <dgm14:recolorImg xmlns:dgm14="http://schemas.microsoft.com/office/drawing/2010/diagram" val="1"/>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A58197E9-6083-4782-987B-C8C5AE2F5D5B}">
      <dsp:nvSpPr>
        <dsp:cNvPr id="0" name=""/>
        <dsp:cNvSpPr/>
      </dsp:nvSpPr>
      <dsp:spPr>
        <a:xfrm>
          <a:off x="406193" y="168"/>
          <a:ext cx="784679" cy="392339"/>
        </a:xfrm>
        <a:prstGeom prst="roundRect">
          <a:avLst>
            <a:gd name="adj" fmla="val 10000"/>
          </a:avLst>
        </a:prstGeom>
        <a:solidFill>
          <a:srgbClr val="A4A4A6"/>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20955" tIns="13970" rIns="20955" bIns="13970" numCol="1" spcCol="1270" anchor="ctr" anchorCtr="0">
          <a:noAutofit/>
        </a:bodyPr>
        <a:lstStyle/>
        <a:p>
          <a:pPr marL="0" lvl="0" indent="0" algn="ctr" defTabSz="488950">
            <a:lnSpc>
              <a:spcPct val="90000"/>
            </a:lnSpc>
            <a:spcBef>
              <a:spcPct val="0"/>
            </a:spcBef>
            <a:spcAft>
              <a:spcPct val="35000"/>
            </a:spcAft>
            <a:buNone/>
          </a:pPr>
          <a:r>
            <a:rPr lang="en-GB" sz="1100" kern="1200"/>
            <a:t>General Input Data</a:t>
          </a:r>
        </a:p>
      </dsp:txBody>
      <dsp:txXfrm>
        <a:off x="417684" y="11659"/>
        <a:ext cx="761697" cy="369357"/>
      </dsp:txXfrm>
    </dsp:sp>
    <dsp:sp modelId="{12AEAB6F-AB41-49FA-9AFF-2EEFD6F6C2C7}">
      <dsp:nvSpPr>
        <dsp:cNvPr id="0" name=""/>
        <dsp:cNvSpPr/>
      </dsp:nvSpPr>
      <dsp:spPr>
        <a:xfrm>
          <a:off x="438941" y="392508"/>
          <a:ext cx="91440" cy="294254"/>
        </a:xfrm>
        <a:custGeom>
          <a:avLst/>
          <a:gdLst/>
          <a:ahLst/>
          <a:cxnLst/>
          <a:rect l="0" t="0" r="0" b="0"/>
          <a:pathLst>
            <a:path>
              <a:moveTo>
                <a:pt x="45720" y="0"/>
              </a:moveTo>
              <a:lnTo>
                <a:pt x="45720" y="294254"/>
              </a:lnTo>
              <a:lnTo>
                <a:pt x="124187" y="29425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A36FEA1-B6D9-4272-9379-20A238532315}">
      <dsp:nvSpPr>
        <dsp:cNvPr id="0" name=""/>
        <dsp:cNvSpPr/>
      </dsp:nvSpPr>
      <dsp:spPr>
        <a:xfrm>
          <a:off x="563129" y="490593"/>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1"/>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Disclaimer</a:t>
          </a:r>
        </a:p>
      </dsp:txBody>
      <dsp:txXfrm>
        <a:off x="574620" y="502084"/>
        <a:ext cx="604761" cy="369357"/>
      </dsp:txXfrm>
    </dsp:sp>
    <dsp:sp modelId="{F828DA14-D086-4791-8279-10DC98D63A31}">
      <dsp:nvSpPr>
        <dsp:cNvPr id="0" name=""/>
        <dsp:cNvSpPr/>
      </dsp:nvSpPr>
      <dsp:spPr>
        <a:xfrm>
          <a:off x="438941" y="392508"/>
          <a:ext cx="91440" cy="784679"/>
        </a:xfrm>
        <a:custGeom>
          <a:avLst/>
          <a:gdLst/>
          <a:ahLst/>
          <a:cxnLst/>
          <a:rect l="0" t="0" r="0" b="0"/>
          <a:pathLst>
            <a:path>
              <a:moveTo>
                <a:pt x="45720" y="0"/>
              </a:moveTo>
              <a:lnTo>
                <a:pt x="45720" y="784679"/>
              </a:lnTo>
              <a:lnTo>
                <a:pt x="124187" y="784679"/>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DFBB1C85-A688-49C1-A3EB-B56AB91E4E4F}">
      <dsp:nvSpPr>
        <dsp:cNvPr id="0" name=""/>
        <dsp:cNvSpPr/>
      </dsp:nvSpPr>
      <dsp:spPr>
        <a:xfrm>
          <a:off x="563129" y="981017"/>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1"/>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Log</a:t>
          </a:r>
        </a:p>
      </dsp:txBody>
      <dsp:txXfrm>
        <a:off x="574620" y="992508"/>
        <a:ext cx="604761" cy="369357"/>
      </dsp:txXfrm>
    </dsp:sp>
    <dsp:sp modelId="{455714B7-3B86-4D18-8A00-CF2739D3FEA9}">
      <dsp:nvSpPr>
        <dsp:cNvPr id="0" name=""/>
        <dsp:cNvSpPr/>
      </dsp:nvSpPr>
      <dsp:spPr>
        <a:xfrm>
          <a:off x="438941" y="392508"/>
          <a:ext cx="91440" cy="1275104"/>
        </a:xfrm>
        <a:custGeom>
          <a:avLst/>
          <a:gdLst/>
          <a:ahLst/>
          <a:cxnLst/>
          <a:rect l="0" t="0" r="0" b="0"/>
          <a:pathLst>
            <a:path>
              <a:moveTo>
                <a:pt x="45720" y="0"/>
              </a:moveTo>
              <a:lnTo>
                <a:pt x="45720" y="1275104"/>
              </a:lnTo>
              <a:lnTo>
                <a:pt x="124187" y="127510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18BBF26F-1CA0-4E85-B42B-A90409B84220}">
      <dsp:nvSpPr>
        <dsp:cNvPr id="0" name=""/>
        <dsp:cNvSpPr/>
      </dsp:nvSpPr>
      <dsp:spPr>
        <a:xfrm>
          <a:off x="563129" y="1471442"/>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1"/>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Map</a:t>
          </a:r>
        </a:p>
      </dsp:txBody>
      <dsp:txXfrm>
        <a:off x="574620" y="1482933"/>
        <a:ext cx="604761" cy="369357"/>
      </dsp:txXfrm>
    </dsp:sp>
    <dsp:sp modelId="{F25ECFAB-D6A1-4493-9348-B63D3B4F116F}">
      <dsp:nvSpPr>
        <dsp:cNvPr id="0" name=""/>
        <dsp:cNvSpPr/>
      </dsp:nvSpPr>
      <dsp:spPr>
        <a:xfrm>
          <a:off x="438941" y="392508"/>
          <a:ext cx="91440" cy="1765528"/>
        </a:xfrm>
        <a:custGeom>
          <a:avLst/>
          <a:gdLst/>
          <a:ahLst/>
          <a:cxnLst/>
          <a:rect l="0" t="0" r="0" b="0"/>
          <a:pathLst>
            <a:path>
              <a:moveTo>
                <a:pt x="45720" y="0"/>
              </a:moveTo>
              <a:lnTo>
                <a:pt x="45720" y="1765528"/>
              </a:lnTo>
              <a:lnTo>
                <a:pt x="124187" y="1765528"/>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17A20D5D-3598-4AA6-809A-6288B51E3C02}">
      <dsp:nvSpPr>
        <dsp:cNvPr id="0" name=""/>
        <dsp:cNvSpPr/>
      </dsp:nvSpPr>
      <dsp:spPr>
        <a:xfrm>
          <a:off x="563129" y="1961867"/>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Dropdowns</a:t>
          </a:r>
        </a:p>
      </dsp:txBody>
      <dsp:txXfrm>
        <a:off x="574620" y="1973358"/>
        <a:ext cx="604761" cy="369357"/>
      </dsp:txXfrm>
    </dsp:sp>
    <dsp:sp modelId="{26E9F9D7-65CC-46A3-80CA-E06FA1BDBD8D}">
      <dsp:nvSpPr>
        <dsp:cNvPr id="0" name=""/>
        <dsp:cNvSpPr/>
      </dsp:nvSpPr>
      <dsp:spPr>
        <a:xfrm>
          <a:off x="1387043" y="168"/>
          <a:ext cx="784679" cy="392339"/>
        </a:xfrm>
        <a:prstGeom prst="roundRect">
          <a:avLst>
            <a:gd name="adj" fmla="val 10000"/>
          </a:avLst>
        </a:prstGeom>
        <a:solidFill>
          <a:schemeClr val="accent5"/>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20955" tIns="13970" rIns="20955" bIns="13970" numCol="1" spcCol="1270" anchor="ctr" anchorCtr="0">
          <a:noAutofit/>
        </a:bodyPr>
        <a:lstStyle/>
        <a:p>
          <a:pPr marL="0" lvl="0" indent="0" algn="ctr" defTabSz="488950">
            <a:lnSpc>
              <a:spcPct val="90000"/>
            </a:lnSpc>
            <a:spcBef>
              <a:spcPct val="0"/>
            </a:spcBef>
            <a:spcAft>
              <a:spcPct val="35000"/>
            </a:spcAft>
            <a:buNone/>
          </a:pPr>
          <a:r>
            <a:rPr lang="en-GB" sz="1100" kern="1200"/>
            <a:t>Project Input Data</a:t>
          </a:r>
        </a:p>
      </dsp:txBody>
      <dsp:txXfrm>
        <a:off x="1398534" y="11659"/>
        <a:ext cx="761697" cy="369357"/>
      </dsp:txXfrm>
    </dsp:sp>
    <dsp:sp modelId="{FA9A8413-9069-4340-AF2E-952F710457BE}">
      <dsp:nvSpPr>
        <dsp:cNvPr id="0" name=""/>
        <dsp:cNvSpPr/>
      </dsp:nvSpPr>
      <dsp:spPr>
        <a:xfrm>
          <a:off x="1419790" y="392508"/>
          <a:ext cx="91440" cy="294254"/>
        </a:xfrm>
        <a:custGeom>
          <a:avLst/>
          <a:gdLst/>
          <a:ahLst/>
          <a:cxnLst/>
          <a:rect l="0" t="0" r="0" b="0"/>
          <a:pathLst>
            <a:path>
              <a:moveTo>
                <a:pt x="45720" y="0"/>
              </a:moveTo>
              <a:lnTo>
                <a:pt x="45720" y="294254"/>
              </a:lnTo>
              <a:lnTo>
                <a:pt x="124187" y="29425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0C9ABA58-8D03-409E-ACB5-4D52207FCCD6}">
      <dsp:nvSpPr>
        <dsp:cNvPr id="0" name=""/>
        <dsp:cNvSpPr/>
      </dsp:nvSpPr>
      <dsp:spPr>
        <a:xfrm>
          <a:off x="1543978" y="490593"/>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5"/>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Assumptions</a:t>
          </a:r>
        </a:p>
      </dsp:txBody>
      <dsp:txXfrm>
        <a:off x="1555469" y="502084"/>
        <a:ext cx="604761" cy="369357"/>
      </dsp:txXfrm>
    </dsp:sp>
    <dsp:sp modelId="{90A7EC9F-6D71-4E17-8C1C-46B3BC230642}">
      <dsp:nvSpPr>
        <dsp:cNvPr id="0" name=""/>
        <dsp:cNvSpPr/>
      </dsp:nvSpPr>
      <dsp:spPr>
        <a:xfrm>
          <a:off x="1419790" y="392508"/>
          <a:ext cx="91440" cy="784679"/>
        </a:xfrm>
        <a:custGeom>
          <a:avLst/>
          <a:gdLst/>
          <a:ahLst/>
          <a:cxnLst/>
          <a:rect l="0" t="0" r="0" b="0"/>
          <a:pathLst>
            <a:path>
              <a:moveTo>
                <a:pt x="45720" y="0"/>
              </a:moveTo>
              <a:lnTo>
                <a:pt x="45720" y="784679"/>
              </a:lnTo>
              <a:lnTo>
                <a:pt x="124187" y="784679"/>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A07FAD18-20F9-4557-BA80-35BB71DC59CD}">
      <dsp:nvSpPr>
        <dsp:cNvPr id="0" name=""/>
        <dsp:cNvSpPr/>
      </dsp:nvSpPr>
      <dsp:spPr>
        <a:xfrm>
          <a:off x="1543978" y="981017"/>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5"/>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Financing</a:t>
          </a:r>
        </a:p>
      </dsp:txBody>
      <dsp:txXfrm>
        <a:off x="1555469" y="992508"/>
        <a:ext cx="604761" cy="369357"/>
      </dsp:txXfrm>
    </dsp:sp>
    <dsp:sp modelId="{6F4B7F89-00FF-4126-B0A2-D05D134C343E}">
      <dsp:nvSpPr>
        <dsp:cNvPr id="0" name=""/>
        <dsp:cNvSpPr/>
      </dsp:nvSpPr>
      <dsp:spPr>
        <a:xfrm>
          <a:off x="1419790" y="392508"/>
          <a:ext cx="91440" cy="1275104"/>
        </a:xfrm>
        <a:custGeom>
          <a:avLst/>
          <a:gdLst/>
          <a:ahLst/>
          <a:cxnLst/>
          <a:rect l="0" t="0" r="0" b="0"/>
          <a:pathLst>
            <a:path>
              <a:moveTo>
                <a:pt x="45720" y="0"/>
              </a:moveTo>
              <a:lnTo>
                <a:pt x="45720" y="1275104"/>
              </a:lnTo>
              <a:lnTo>
                <a:pt x="124187" y="127510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53B33B83-B5E1-47A3-BEB3-96AD3824FA4D}">
      <dsp:nvSpPr>
        <dsp:cNvPr id="0" name=""/>
        <dsp:cNvSpPr/>
      </dsp:nvSpPr>
      <dsp:spPr>
        <a:xfrm>
          <a:off x="1543978" y="1471442"/>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5"/>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Timeline</a:t>
          </a:r>
        </a:p>
      </dsp:txBody>
      <dsp:txXfrm>
        <a:off x="1555469" y="1482933"/>
        <a:ext cx="604761" cy="369357"/>
      </dsp:txXfrm>
    </dsp:sp>
    <dsp:sp modelId="{2FE6BF7C-27B7-417B-AA66-611E8E637C24}">
      <dsp:nvSpPr>
        <dsp:cNvPr id="0" name=""/>
        <dsp:cNvSpPr/>
      </dsp:nvSpPr>
      <dsp:spPr>
        <a:xfrm>
          <a:off x="1419790" y="392508"/>
          <a:ext cx="91440" cy="1765528"/>
        </a:xfrm>
        <a:custGeom>
          <a:avLst/>
          <a:gdLst/>
          <a:ahLst/>
          <a:cxnLst/>
          <a:rect l="0" t="0" r="0" b="0"/>
          <a:pathLst>
            <a:path>
              <a:moveTo>
                <a:pt x="45720" y="0"/>
              </a:moveTo>
              <a:lnTo>
                <a:pt x="45720" y="1765528"/>
              </a:lnTo>
              <a:lnTo>
                <a:pt x="124187" y="1765528"/>
              </a:lnTo>
            </a:path>
          </a:pathLst>
        </a:custGeom>
        <a:noFill/>
        <a:ln w="12700" cap="flat" cmpd="sng" algn="ctr">
          <a:solidFill>
            <a:schemeClr val="accent5"/>
          </a:solidFill>
          <a:prstDash val="solid"/>
          <a:miter lim="800000"/>
        </a:ln>
        <a:effectLst/>
      </dsp:spPr>
      <dsp:style>
        <a:lnRef idx="2">
          <a:scrgbClr r="0" g="0" b="0"/>
        </a:lnRef>
        <a:fillRef idx="0">
          <a:scrgbClr r="0" g="0" b="0"/>
        </a:fillRef>
        <a:effectRef idx="0">
          <a:scrgbClr r="0" g="0" b="0"/>
        </a:effectRef>
        <a:fontRef idx="minor"/>
      </dsp:style>
    </dsp:sp>
    <dsp:sp modelId="{CDB9795B-DD03-4E77-838F-96A321D99A56}">
      <dsp:nvSpPr>
        <dsp:cNvPr id="0" name=""/>
        <dsp:cNvSpPr/>
      </dsp:nvSpPr>
      <dsp:spPr>
        <a:xfrm>
          <a:off x="1543978" y="1961867"/>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5"/>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Annex 4</a:t>
          </a:r>
        </a:p>
      </dsp:txBody>
      <dsp:txXfrm>
        <a:off x="1555469" y="1973358"/>
        <a:ext cx="604761" cy="369357"/>
      </dsp:txXfrm>
    </dsp:sp>
    <dsp:sp modelId="{41F4EC89-CBA5-415A-AD24-617E3FFF4BF6}">
      <dsp:nvSpPr>
        <dsp:cNvPr id="0" name=""/>
        <dsp:cNvSpPr/>
      </dsp:nvSpPr>
      <dsp:spPr>
        <a:xfrm>
          <a:off x="2367892" y="168"/>
          <a:ext cx="784679" cy="392339"/>
        </a:xfrm>
        <a:prstGeom prst="roundRect">
          <a:avLst>
            <a:gd name="adj" fmla="val 10000"/>
          </a:avLst>
        </a:prstGeom>
        <a:solidFill>
          <a:schemeClr val="accent3"/>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20955" tIns="13970" rIns="20955" bIns="13970" numCol="1" spcCol="1270" anchor="ctr" anchorCtr="0">
          <a:noAutofit/>
        </a:bodyPr>
        <a:lstStyle/>
        <a:p>
          <a:pPr marL="0" lvl="0" indent="0" algn="ctr" defTabSz="488950">
            <a:lnSpc>
              <a:spcPct val="90000"/>
            </a:lnSpc>
            <a:spcBef>
              <a:spcPct val="0"/>
            </a:spcBef>
            <a:spcAft>
              <a:spcPct val="35000"/>
            </a:spcAft>
            <a:buNone/>
          </a:pPr>
          <a:r>
            <a:rPr lang="en-GB" sz="1100" kern="1200"/>
            <a:t>Calculations</a:t>
          </a:r>
        </a:p>
      </dsp:txBody>
      <dsp:txXfrm>
        <a:off x="2379383" y="11659"/>
        <a:ext cx="761697" cy="369357"/>
      </dsp:txXfrm>
    </dsp:sp>
    <dsp:sp modelId="{DA306595-1C62-4719-8222-91833AD0AA31}">
      <dsp:nvSpPr>
        <dsp:cNvPr id="0" name=""/>
        <dsp:cNvSpPr/>
      </dsp:nvSpPr>
      <dsp:spPr>
        <a:xfrm>
          <a:off x="2400640" y="392508"/>
          <a:ext cx="91440" cy="294254"/>
        </a:xfrm>
        <a:custGeom>
          <a:avLst/>
          <a:gdLst/>
          <a:ahLst/>
          <a:cxnLst/>
          <a:rect l="0" t="0" r="0" b="0"/>
          <a:pathLst>
            <a:path>
              <a:moveTo>
                <a:pt x="45720" y="0"/>
              </a:moveTo>
              <a:lnTo>
                <a:pt x="45720" y="294254"/>
              </a:lnTo>
              <a:lnTo>
                <a:pt x="124187" y="294254"/>
              </a:lnTo>
            </a:path>
          </a:pathLst>
        </a:custGeom>
        <a:noFill/>
        <a:ln w="12700" cap="flat" cmpd="sng" algn="ctr">
          <a:solidFill>
            <a:srgbClr val="B484A2"/>
          </a:solidFill>
          <a:prstDash val="solid"/>
          <a:miter lim="800000"/>
        </a:ln>
        <a:effectLst/>
      </dsp:spPr>
      <dsp:style>
        <a:lnRef idx="2">
          <a:scrgbClr r="0" g="0" b="0"/>
        </a:lnRef>
        <a:fillRef idx="0">
          <a:scrgbClr r="0" g="0" b="0"/>
        </a:fillRef>
        <a:effectRef idx="0">
          <a:scrgbClr r="0" g="0" b="0"/>
        </a:effectRef>
        <a:fontRef idx="minor"/>
      </dsp:style>
    </dsp:sp>
    <dsp:sp modelId="{B185A99B-8ACB-44C6-BA97-7BCC868D04AB}">
      <dsp:nvSpPr>
        <dsp:cNvPr id="0" name=""/>
        <dsp:cNvSpPr/>
      </dsp:nvSpPr>
      <dsp:spPr>
        <a:xfrm>
          <a:off x="2524828" y="490593"/>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3"/>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Improvement Timeline</a:t>
          </a:r>
        </a:p>
      </dsp:txBody>
      <dsp:txXfrm>
        <a:off x="2536319" y="502084"/>
        <a:ext cx="604761" cy="369357"/>
      </dsp:txXfrm>
    </dsp:sp>
    <dsp:sp modelId="{0B6CDC86-C294-4BEA-AD57-1BDC891AF4BB}">
      <dsp:nvSpPr>
        <dsp:cNvPr id="0" name=""/>
        <dsp:cNvSpPr/>
      </dsp:nvSpPr>
      <dsp:spPr>
        <a:xfrm>
          <a:off x="2400640" y="392508"/>
          <a:ext cx="91440" cy="784679"/>
        </a:xfrm>
        <a:custGeom>
          <a:avLst/>
          <a:gdLst/>
          <a:ahLst/>
          <a:cxnLst/>
          <a:rect l="0" t="0" r="0" b="0"/>
          <a:pathLst>
            <a:path>
              <a:moveTo>
                <a:pt x="45720" y="0"/>
              </a:moveTo>
              <a:lnTo>
                <a:pt x="45720" y="784679"/>
              </a:lnTo>
              <a:lnTo>
                <a:pt x="124187" y="784679"/>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0F09D6F1-46FB-46CD-A636-C40911A00A69}">
      <dsp:nvSpPr>
        <dsp:cNvPr id="0" name=""/>
        <dsp:cNvSpPr/>
      </dsp:nvSpPr>
      <dsp:spPr>
        <a:xfrm>
          <a:off x="2524828" y="981017"/>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3"/>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Summary</a:t>
          </a:r>
        </a:p>
      </dsp:txBody>
      <dsp:txXfrm>
        <a:off x="2536319" y="992508"/>
        <a:ext cx="604761" cy="369357"/>
      </dsp:txXfrm>
    </dsp:sp>
    <dsp:sp modelId="{EF9C90C7-93A2-4871-A6E2-698AB578B6D3}">
      <dsp:nvSpPr>
        <dsp:cNvPr id="0" name=""/>
        <dsp:cNvSpPr/>
      </dsp:nvSpPr>
      <dsp:spPr>
        <a:xfrm>
          <a:off x="2400640" y="392508"/>
          <a:ext cx="91440" cy="1275104"/>
        </a:xfrm>
        <a:custGeom>
          <a:avLst/>
          <a:gdLst/>
          <a:ahLst/>
          <a:cxnLst/>
          <a:rect l="0" t="0" r="0" b="0"/>
          <a:pathLst>
            <a:path>
              <a:moveTo>
                <a:pt x="45720" y="0"/>
              </a:moveTo>
              <a:lnTo>
                <a:pt x="45720" y="1275104"/>
              </a:lnTo>
              <a:lnTo>
                <a:pt x="124187" y="127510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02378B9-9FC4-4FCF-9242-51856FC92C18}">
      <dsp:nvSpPr>
        <dsp:cNvPr id="0" name=""/>
        <dsp:cNvSpPr/>
      </dsp:nvSpPr>
      <dsp:spPr>
        <a:xfrm>
          <a:off x="2524828" y="1471442"/>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3"/>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Cashflow</a:t>
          </a:r>
        </a:p>
      </dsp:txBody>
      <dsp:txXfrm>
        <a:off x="2536319" y="1482933"/>
        <a:ext cx="604761" cy="369357"/>
      </dsp:txXfrm>
    </dsp:sp>
    <dsp:sp modelId="{EA3DD8D5-87B0-4272-BBF4-52264BD5569C}">
      <dsp:nvSpPr>
        <dsp:cNvPr id="0" name=""/>
        <dsp:cNvSpPr/>
      </dsp:nvSpPr>
      <dsp:spPr>
        <a:xfrm>
          <a:off x="2400640" y="392508"/>
          <a:ext cx="91440" cy="1765528"/>
        </a:xfrm>
        <a:custGeom>
          <a:avLst/>
          <a:gdLst/>
          <a:ahLst/>
          <a:cxnLst/>
          <a:rect l="0" t="0" r="0" b="0"/>
          <a:pathLst>
            <a:path>
              <a:moveTo>
                <a:pt x="45720" y="0"/>
              </a:moveTo>
              <a:lnTo>
                <a:pt x="45720" y="1765528"/>
              </a:lnTo>
              <a:lnTo>
                <a:pt x="124187" y="1765528"/>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34A5512-F892-47B6-8011-4609DBF4D565}">
      <dsp:nvSpPr>
        <dsp:cNvPr id="0" name=""/>
        <dsp:cNvSpPr/>
      </dsp:nvSpPr>
      <dsp:spPr>
        <a:xfrm>
          <a:off x="2524828" y="1961867"/>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3"/>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Solar street lighting</a:t>
          </a:r>
        </a:p>
      </dsp:txBody>
      <dsp:txXfrm>
        <a:off x="2536319" y="1973358"/>
        <a:ext cx="604761" cy="369357"/>
      </dsp:txXfrm>
    </dsp:sp>
    <dsp:sp modelId="{BD501FB4-7782-42DE-96C9-528B07F1CF15}">
      <dsp:nvSpPr>
        <dsp:cNvPr id="0" name=""/>
        <dsp:cNvSpPr/>
      </dsp:nvSpPr>
      <dsp:spPr>
        <a:xfrm>
          <a:off x="2400640" y="392508"/>
          <a:ext cx="91440" cy="2255953"/>
        </a:xfrm>
        <a:custGeom>
          <a:avLst/>
          <a:gdLst/>
          <a:ahLst/>
          <a:cxnLst/>
          <a:rect l="0" t="0" r="0" b="0"/>
          <a:pathLst>
            <a:path>
              <a:moveTo>
                <a:pt x="45720" y="0"/>
              </a:moveTo>
              <a:lnTo>
                <a:pt x="45720" y="2255953"/>
              </a:lnTo>
              <a:lnTo>
                <a:pt x="124187" y="2255953"/>
              </a:lnTo>
            </a:path>
          </a:pathLst>
        </a:custGeom>
        <a:noFill/>
        <a:ln w="12700" cap="flat" cmpd="sng" algn="ctr">
          <a:solidFill>
            <a:schemeClr val="accent3">
              <a:lumMod val="75000"/>
            </a:schemeClr>
          </a:solidFill>
          <a:prstDash val="solid"/>
          <a:miter lim="800000"/>
        </a:ln>
        <a:effectLst/>
      </dsp:spPr>
      <dsp:style>
        <a:lnRef idx="2">
          <a:scrgbClr r="0" g="0" b="0"/>
        </a:lnRef>
        <a:fillRef idx="0">
          <a:scrgbClr r="0" g="0" b="0"/>
        </a:fillRef>
        <a:effectRef idx="0">
          <a:scrgbClr r="0" g="0" b="0"/>
        </a:effectRef>
        <a:fontRef idx="minor"/>
      </dsp:style>
    </dsp:sp>
    <dsp:sp modelId="{74C6D1DD-3B91-4A9F-9E6A-DC51C2AEA735}">
      <dsp:nvSpPr>
        <dsp:cNvPr id="0" name=""/>
        <dsp:cNvSpPr/>
      </dsp:nvSpPr>
      <dsp:spPr>
        <a:xfrm>
          <a:off x="2524828" y="2452291"/>
          <a:ext cx="627743" cy="392339"/>
        </a:xfrm>
        <a:prstGeom prst="roundRect">
          <a:avLst>
            <a:gd name="adj" fmla="val 10000"/>
          </a:avLst>
        </a:prstGeom>
        <a:solidFill>
          <a:schemeClr val="lt1">
            <a:alpha val="90000"/>
            <a:hueOff val="0"/>
            <a:satOff val="0"/>
            <a:lumOff val="0"/>
            <a:alphaOff val="0"/>
          </a:schemeClr>
        </a:solidFill>
        <a:ln w="12700" cap="flat" cmpd="sng" algn="ctr">
          <a:solidFill>
            <a:schemeClr val="accent3"/>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Sensitivity analysis</a:t>
          </a:r>
        </a:p>
      </dsp:txBody>
      <dsp:txXfrm>
        <a:off x="2536319" y="2463782"/>
        <a:ext cx="604761" cy="369357"/>
      </dsp:txXfrm>
    </dsp:sp>
    <dsp:sp modelId="{046D73D9-EE08-4543-8BF3-2F5702FA3A59}">
      <dsp:nvSpPr>
        <dsp:cNvPr id="0" name=""/>
        <dsp:cNvSpPr/>
      </dsp:nvSpPr>
      <dsp:spPr>
        <a:xfrm>
          <a:off x="3348741" y="168"/>
          <a:ext cx="784679" cy="392339"/>
        </a:xfrm>
        <a:prstGeom prst="roundRect">
          <a:avLst>
            <a:gd name="adj" fmla="val 10000"/>
          </a:avLst>
        </a:prstGeom>
        <a:solidFill>
          <a:schemeClr val="accent4">
            <a:lumMod val="9000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20955" tIns="13970" rIns="20955" bIns="13970" numCol="1" spcCol="1270" anchor="ctr" anchorCtr="0">
          <a:noAutofit/>
        </a:bodyPr>
        <a:lstStyle/>
        <a:p>
          <a:pPr marL="0" lvl="0" indent="0" algn="ctr" defTabSz="488950">
            <a:lnSpc>
              <a:spcPct val="90000"/>
            </a:lnSpc>
            <a:spcBef>
              <a:spcPct val="0"/>
            </a:spcBef>
            <a:spcAft>
              <a:spcPct val="35000"/>
            </a:spcAft>
            <a:buNone/>
          </a:pPr>
          <a:r>
            <a:rPr lang="en-GB" sz="1100" kern="1200"/>
            <a:t>Outputs</a:t>
          </a:r>
        </a:p>
      </dsp:txBody>
      <dsp:txXfrm>
        <a:off x="3360232" y="11659"/>
        <a:ext cx="761697" cy="369357"/>
      </dsp:txXfrm>
    </dsp:sp>
    <dsp:sp modelId="{BC9DF72F-F602-4834-B6A1-6816361D8E09}">
      <dsp:nvSpPr>
        <dsp:cNvPr id="0" name=""/>
        <dsp:cNvSpPr/>
      </dsp:nvSpPr>
      <dsp:spPr>
        <a:xfrm>
          <a:off x="3381489" y="392508"/>
          <a:ext cx="91440" cy="294254"/>
        </a:xfrm>
        <a:custGeom>
          <a:avLst/>
          <a:gdLst/>
          <a:ahLst/>
          <a:cxnLst/>
          <a:rect l="0" t="0" r="0" b="0"/>
          <a:pathLst>
            <a:path>
              <a:moveTo>
                <a:pt x="45720" y="0"/>
              </a:moveTo>
              <a:lnTo>
                <a:pt x="45720" y="294254"/>
              </a:lnTo>
              <a:lnTo>
                <a:pt x="124187" y="294254"/>
              </a:lnTo>
            </a:path>
          </a:pathLst>
        </a:custGeom>
        <a:noFill/>
        <a:ln w="12700" cap="flat" cmpd="sng" algn="ctr">
          <a:solidFill>
            <a:srgbClr val="C0D4FD"/>
          </a:solidFill>
          <a:prstDash val="solid"/>
          <a:miter lim="800000"/>
        </a:ln>
        <a:effectLst/>
      </dsp:spPr>
      <dsp:style>
        <a:lnRef idx="2">
          <a:scrgbClr r="0" g="0" b="0"/>
        </a:lnRef>
        <a:fillRef idx="0">
          <a:scrgbClr r="0" g="0" b="0"/>
        </a:fillRef>
        <a:effectRef idx="0">
          <a:scrgbClr r="0" g="0" b="0"/>
        </a:effectRef>
        <a:fontRef idx="minor"/>
      </dsp:style>
    </dsp:sp>
    <dsp:sp modelId="{BA72C7F7-865E-4E78-B763-2504D8C5B9DF}">
      <dsp:nvSpPr>
        <dsp:cNvPr id="0" name=""/>
        <dsp:cNvSpPr/>
      </dsp:nvSpPr>
      <dsp:spPr>
        <a:xfrm>
          <a:off x="3505677" y="490593"/>
          <a:ext cx="627743" cy="392339"/>
        </a:xfrm>
        <a:prstGeom prst="roundRect">
          <a:avLst>
            <a:gd name="adj" fmla="val 10000"/>
          </a:avLst>
        </a:prstGeom>
        <a:solidFill>
          <a:schemeClr val="lt1">
            <a:alpha val="90000"/>
            <a:hueOff val="0"/>
            <a:satOff val="0"/>
            <a:lumOff val="0"/>
            <a:alphaOff val="0"/>
          </a:schemeClr>
        </a:solidFill>
        <a:ln w="12700" cap="flat" cmpd="sng" algn="ctr">
          <a:solidFill>
            <a:srgbClr val="C0D4FD"/>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15240" tIns="10160" rIns="15240" bIns="10160" numCol="1" spcCol="1270" anchor="ctr" anchorCtr="0">
          <a:noAutofit/>
        </a:bodyPr>
        <a:lstStyle/>
        <a:p>
          <a:pPr marL="0" lvl="0" indent="0" algn="ctr" defTabSz="355600">
            <a:lnSpc>
              <a:spcPct val="90000"/>
            </a:lnSpc>
            <a:spcBef>
              <a:spcPct val="0"/>
            </a:spcBef>
            <a:spcAft>
              <a:spcPct val="35000"/>
            </a:spcAft>
            <a:buNone/>
          </a:pPr>
          <a:r>
            <a:rPr lang="en-GB" sz="800" kern="1200"/>
            <a:t>Dashboard</a:t>
          </a:r>
        </a:p>
      </dsp:txBody>
      <dsp:txXfrm>
        <a:off x="3517168" y="502084"/>
        <a:ext cx="604761" cy="369357"/>
      </dsp:txXfrm>
    </dsp:sp>
  </dsp:spTree>
</dsp:drawing>
</file>

<file path=xl/diagrams/layout1.xml><?xml version="1.0" encoding="utf-8"?>
<dgm:layoutDef xmlns:dgm="http://schemas.openxmlformats.org/drawingml/2006/diagram" xmlns:a="http://schemas.openxmlformats.org/drawingml/2006/main" uniqueId="urn:microsoft.com/office/officeart/2005/8/layout/hierarchy3">
  <dgm:title val=""/>
  <dgm:desc val=""/>
  <dgm:catLst>
    <dgm:cat type="hierarchy" pri="7000"/>
    <dgm:cat type="list" pri="23000"/>
    <dgm:cat type="relationship" pri="15000"/>
    <dgm:cat type="convert" pri="7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Lst>
      <dgm:cxnLst>
        <dgm:cxn modelId="4" srcId="0" destId="1" srcOrd="0" destOrd="0"/>
        <dgm:cxn modelId="5" srcId="1" destId="11" srcOrd="0" destOrd="0"/>
        <dgm:cxn modelId="6" srcId="1" destId="12" srcOrd="1" destOrd="0"/>
        <dgm:cxn modelId="7" srcId="0" destId="2" srcOrd="1" destOrd="0"/>
        <dgm:cxn modelId="8" srcId="2" destId="21" srcOrd="0" destOrd="0"/>
        <dgm:cxn modelId="9" srcId="2" destId="22" srcOrd="1" destOrd="0"/>
      </dgm:cxnLst>
      <dgm:bg/>
      <dgm:whole/>
    </dgm:dataModel>
  </dgm:sampData>
  <dgm:styleData>
    <dgm:dataModel>
      <dgm:ptLst>
        <dgm:pt modelId="0" type="doc"/>
        <dgm:pt modelId="1"/>
        <dgm:pt modelId="11"/>
        <dgm:pt modelId="2"/>
        <dgm:pt modelId="21"/>
      </dgm:ptLst>
      <dgm:cxnLst>
        <dgm:cxn modelId="4" srcId="0" destId="1" srcOrd="0" destOrd="0"/>
        <dgm:cxn modelId="5" srcId="0" destId="2" srcOrd="1" destOrd="0"/>
        <dgm:cxn modelId="13" srcId="1" destId="11" srcOrd="0" destOrd="0"/>
        <dgm:cxn modelId="23" srcId="2" destId="21" srcOrd="0" destOrd="0"/>
      </dgm:cxnLst>
      <dgm:bg/>
      <dgm:whole/>
    </dgm:dataModel>
  </dgm:styleData>
  <dgm:clrData>
    <dgm:dataModel>
      <dgm:ptLst>
        <dgm:pt modelId="0" type="doc"/>
        <dgm:pt modelId="1"/>
        <dgm:pt modelId="11"/>
        <dgm:pt modelId="2"/>
        <dgm:pt modelId="21"/>
        <dgm:pt modelId="3"/>
        <dgm:pt modelId="31"/>
        <dgm:pt modelId="4"/>
        <dgm:pt modelId="41"/>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clrData>
  <dgm:layoutNode name="diagram">
    <dgm:varLst>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primFontSz" for="des" forName="rootText" op="equ" val="65"/>
      <dgm:constr type="primFontSz" for="des" forName="childText" op="equ" val="65"/>
      <dgm:constr type="w" for="des" forName="rootComposite" refType="w"/>
      <dgm:constr type="h" for="des" forName="rootComposite" refType="w" fact="0.5"/>
      <dgm:constr type="w" for="des" forName="childText" refType="w" refFor="des" refForName="rootComposite" fact="0.8"/>
      <dgm:constr type="h" for="des" forName="childText" refType="h" refFor="des" refForName="rootComposite"/>
      <dgm:constr type="sibSp" refType="w" refFor="des" refForName="rootComposite" fact="0.25"/>
      <dgm:constr type="sibSp" for="des" forName="childShape" refType="h" refFor="des" refForName="childText" fact="0.25"/>
      <dgm:constr type="sp" for="des" forName="root" refType="h" refFor="des" refForName="childText" fact="0.25"/>
    </dgm:constrLst>
    <dgm:ruleLst/>
    <dgm:forEach name="Name3" axis="ch">
      <dgm:forEach name="Name4" axis="self" ptType="node" cnt="1">
        <dgm:layoutNode name="root">
          <dgm:choose name="Name5">
            <dgm:if name="Name6" func="var" arg="dir" op="equ" val="norm">
              <dgm:alg type="hierRoot">
                <dgm:param type="hierAlign" val="tL"/>
              </dgm:alg>
            </dgm:if>
            <dgm:else name="Name7">
              <dgm:alg type="hierRoot">
                <dgm:param type="hierAlign" val="tR"/>
              </dgm:alg>
            </dgm:else>
          </dgm:choose>
          <dgm:shape xmlns:r="http://schemas.openxmlformats.org/officeDocument/2006/relationships" r:blip="">
            <dgm:adjLst/>
          </dgm:shape>
          <dgm:presOf/>
          <dgm:constrLst>
            <dgm:constr type="alignOff" val="0.2"/>
          </dgm:constrLst>
          <dgm:ruleLst/>
          <dgm:layoutNode name="rootComposite">
            <dgm:alg type="composite"/>
            <dgm:shape xmlns:r="http://schemas.openxmlformats.org/officeDocument/2006/relationships" r:blip="">
              <dgm:adjLst/>
            </dgm:shape>
            <dgm:presOf axis="self" ptType="node" cnt="1"/>
            <dgm:choose name="Name8">
              <dgm:if name="Name9" func="var" arg="dir" op="equ" val="norm">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10">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styleLbl="node1">
              <dgm:alg type="tx"/>
              <dgm:shape xmlns:r="http://schemas.openxmlformats.org/officeDocument/2006/relationships" type="roundRect" r:blip="">
                <dgm:adjLst>
                  <dgm:adj idx="1" val="0.1"/>
                </dgm:adjLst>
              </dgm:shape>
              <dgm:presOf axis="self" ptType="node" cnt="1"/>
              <dgm:constrLst>
                <dgm:constr type="tMarg" refType="primFontSz" fact="0.1"/>
                <dgm:constr type="bMarg" refType="primFontSz" fact="0.1"/>
                <dgm:constr type="lMarg" refType="primFontSz" fact="0.15"/>
                <dgm:constr type="rMarg" refType="primFontSz" fact="0.15"/>
              </dgm:constrLst>
              <dgm:ruleLst>
                <dgm:rule type="primFontSz" val="5" fact="NaN" max="NaN"/>
              </dgm:ruleLst>
            </dgm:layoutNode>
            <dgm:layoutNode name="rootConnector" moveWith="rootText">
              <dgm:alg type="sp"/>
              <dgm:shape xmlns:r="http://schemas.openxmlformats.org/officeDocument/2006/relationships" type="roundRect" r:blip="" hideGeom="1">
                <dgm:adjLst>
                  <dgm:adj idx="1" val="0.1"/>
                </dgm:adjLst>
              </dgm:shape>
              <dgm:presOf axis="self" ptType="node" cnt="1"/>
              <dgm:constrLst/>
              <dgm:ruleLst/>
            </dgm:layoutNode>
          </dgm:layoutNode>
          <dgm:layoutNode name="childShape">
            <dgm:alg type="hierChild">
              <dgm:param type="chAlign" val="l"/>
              <dgm:param type="linDir" val="fromT"/>
            </dgm:alg>
            <dgm:shape xmlns:r="http://schemas.openxmlformats.org/officeDocument/2006/relationships" r:blip="">
              <dgm:adjLst/>
            </dgm:shape>
            <dgm:presOf/>
            <dgm:constrLst/>
            <dgm:ruleLst/>
            <dgm:forEach name="Name11" axis="ch">
              <dgm:forEach name="Name12" axis="self" ptType="parTrans" cnt="1">
                <dgm:layoutNode name="Name13">
                  <dgm:choose name="Name14">
                    <dgm:if name="Name15" func="var" arg="dir" op="equ" val="norm">
                      <dgm:alg type="conn">
                        <dgm:param type="dim" val="1D"/>
                        <dgm:param type="endSty" val="noArr"/>
                        <dgm:param type="connRout" val="bend"/>
                        <dgm:param type="srcNode" val="rootConnector"/>
                        <dgm:param type="begPts" val="bCtr"/>
                        <dgm:param type="endPts" val="midL"/>
                      </dgm:alg>
                    </dgm:if>
                    <dgm:else name="Name16">
                      <dgm:alg type="conn">
                        <dgm:param type="dim" val="1D"/>
                        <dgm:param type="endSty" val="noArr"/>
                        <dgm:param type="connRout" val="bend"/>
                        <dgm:param type="srcNode" val="rootConnector"/>
                        <dgm:param type="begPts" val="bCtr"/>
                        <dgm:param type="endPts" val="midR"/>
                      </dgm:alg>
                    </dgm:else>
                  </dgm:choose>
                  <dgm:shape xmlns:r="http://schemas.openxmlformats.org/officeDocument/2006/relationships" type="conn" r:blip="">
                    <dgm:adjLst/>
                  </dgm:shape>
                  <dgm:presOf axis="self"/>
                  <dgm:constrLst>
                    <dgm:constr type="begPad"/>
                    <dgm:constr type="endPad"/>
                  </dgm:constrLst>
                  <dgm:ruleLst/>
                </dgm:layoutNode>
              </dgm:forEach>
              <dgm:forEach name="Name17" axis="self" ptType="node">
                <dgm:layoutNode name="childText" styleLbl="bgAcc1">
                  <dgm:varLst>
                    <dgm:bulletEnabled val="1"/>
                  </dgm:varLst>
                  <dgm:alg type="tx"/>
                  <dgm:shape xmlns:r="http://schemas.openxmlformats.org/officeDocument/2006/relationships" type="roundRect" r:blip="">
                    <dgm:adjLst>
                      <dgm:adj idx="1" val="0.1"/>
                    </dgm:adjLst>
                  </dgm:shape>
                  <dgm:presOf axis="self desOrSelf" ptType="node node" st="1 1" cnt="1 0"/>
                  <dgm:constrLst>
                    <dgm:constr type="tMarg" refType="primFontSz" fact="0.1"/>
                    <dgm:constr type="bMarg" refType="primFontSz" fact="0.1"/>
                    <dgm:constr type="lMarg" refType="primFontSz" fact="0.15"/>
                    <dgm:constr type="rMarg" refType="primFontSz" fact="0.15"/>
                  </dgm:constrLst>
                  <dgm:ruleLst>
                    <dgm:rule type="primFontSz" val="5" fact="NaN" max="NaN"/>
                  </dgm:ruleLst>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1.png"/><Relationship Id="rId4"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7.xml"/><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1.png"/><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5</xdr:row>
      <xdr:rowOff>0</xdr:rowOff>
    </xdr:from>
    <xdr:to>
      <xdr:col>12</xdr:col>
      <xdr:colOff>364815</xdr:colOff>
      <xdr:row>6</xdr:row>
      <xdr:rowOff>86020</xdr:rowOff>
    </xdr:to>
    <xdr:pic>
      <xdr:nvPicPr>
        <xdr:cNvPr id="3" name="Bildobjekt 53">
          <a:extLst>
            <a:ext uri="{FF2B5EF4-FFF2-40B4-BE49-F238E27FC236}">
              <a16:creationId xmlns:a16="http://schemas.microsoft.com/office/drawing/2014/main" id="{1A3DDB7B-86CF-4F2A-AD53-91A0A867A1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78950" y="965200"/>
          <a:ext cx="1036645" cy="307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14</xdr:col>
      <xdr:colOff>0</xdr:colOff>
      <xdr:row>1</xdr:row>
      <xdr:rowOff>1</xdr:rowOff>
    </xdr:from>
    <xdr:to>
      <xdr:col>15</xdr:col>
      <xdr:colOff>381890</xdr:colOff>
      <xdr:row>2</xdr:row>
      <xdr:rowOff>97268</xdr:rowOff>
    </xdr:to>
    <xdr:pic>
      <xdr:nvPicPr>
        <xdr:cNvPr id="2" name="Bildobjekt 53">
          <a:extLst>
            <a:ext uri="{FF2B5EF4-FFF2-40B4-BE49-F238E27FC236}">
              <a16:creationId xmlns:a16="http://schemas.microsoft.com/office/drawing/2014/main" id="{78F4BE5B-DD29-4A54-A8F9-0700E821A6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418050" y="571501"/>
          <a:ext cx="1042290" cy="318247"/>
        </a:xfrm>
        <a:prstGeom prst="rect">
          <a:avLst/>
        </a:prstGeom>
      </xdr:spPr>
    </xdr:pic>
    <xdr:clientData/>
  </xdr:twoCellAnchor>
  <xdr:twoCellAnchor>
    <xdr:from>
      <xdr:col>8</xdr:col>
      <xdr:colOff>163286</xdr:colOff>
      <xdr:row>43</xdr:row>
      <xdr:rowOff>11545</xdr:rowOff>
    </xdr:from>
    <xdr:to>
      <xdr:col>17</xdr:col>
      <xdr:colOff>124369</xdr:colOff>
      <xdr:row>63</xdr:row>
      <xdr:rowOff>66081</xdr:rowOff>
    </xdr:to>
    <xdr:graphicFrame macro="">
      <xdr:nvGraphicFramePr>
        <xdr:cNvPr id="3" name="Chart 2">
          <a:extLst>
            <a:ext uri="{FF2B5EF4-FFF2-40B4-BE49-F238E27FC236}">
              <a16:creationId xmlns:a16="http://schemas.microsoft.com/office/drawing/2014/main" id="{34D0FB54-11E6-4E42-B3CE-FE858EC7FA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181792</xdr:colOff>
      <xdr:row>64</xdr:row>
      <xdr:rowOff>131172</xdr:rowOff>
    </xdr:from>
    <xdr:to>
      <xdr:col>17</xdr:col>
      <xdr:colOff>152691</xdr:colOff>
      <xdr:row>85</xdr:row>
      <xdr:rowOff>165191</xdr:rowOff>
    </xdr:to>
    <xdr:graphicFrame macro="">
      <xdr:nvGraphicFramePr>
        <xdr:cNvPr id="4" name="Chart 3">
          <a:extLst>
            <a:ext uri="{FF2B5EF4-FFF2-40B4-BE49-F238E27FC236}">
              <a16:creationId xmlns:a16="http://schemas.microsoft.com/office/drawing/2014/main" id="{2ECC8862-D801-4A88-9078-1F256C60362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464547</xdr:colOff>
      <xdr:row>42</xdr:row>
      <xdr:rowOff>29120</xdr:rowOff>
    </xdr:from>
    <xdr:to>
      <xdr:col>27</xdr:col>
      <xdr:colOff>34833</xdr:colOff>
      <xdr:row>63</xdr:row>
      <xdr:rowOff>48007</xdr:rowOff>
    </xdr:to>
    <xdr:graphicFrame macro="">
      <xdr:nvGraphicFramePr>
        <xdr:cNvPr id="5" name="Chart 4">
          <a:extLst>
            <a:ext uri="{FF2B5EF4-FFF2-40B4-BE49-F238E27FC236}">
              <a16:creationId xmlns:a16="http://schemas.microsoft.com/office/drawing/2014/main" id="{B2D86931-92C5-48D4-B8C3-0C1F2B57D1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14</xdr:col>
      <xdr:colOff>0</xdr:colOff>
      <xdr:row>1</xdr:row>
      <xdr:rowOff>27214</xdr:rowOff>
    </xdr:from>
    <xdr:to>
      <xdr:col>14</xdr:col>
      <xdr:colOff>1050997</xdr:colOff>
      <xdr:row>2</xdr:row>
      <xdr:rowOff>136638</xdr:rowOff>
    </xdr:to>
    <xdr:pic>
      <xdr:nvPicPr>
        <xdr:cNvPr id="2" name="Bildobjekt 53">
          <a:extLst>
            <a:ext uri="{FF2B5EF4-FFF2-40B4-BE49-F238E27FC236}">
              <a16:creationId xmlns:a16="http://schemas.microsoft.com/office/drawing/2014/main" id="{B5E1994C-9252-4FF8-B94D-14BE4E3DF6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863286" y="598714"/>
          <a:ext cx="1044104" cy="34002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17</xdr:col>
      <xdr:colOff>0</xdr:colOff>
      <xdr:row>1</xdr:row>
      <xdr:rowOff>27214</xdr:rowOff>
    </xdr:from>
    <xdr:to>
      <xdr:col>17</xdr:col>
      <xdr:colOff>1047187</xdr:colOff>
      <xdr:row>2</xdr:row>
      <xdr:rowOff>132828</xdr:rowOff>
    </xdr:to>
    <xdr:pic>
      <xdr:nvPicPr>
        <xdr:cNvPr id="2" name="Bildobjekt 53">
          <a:extLst>
            <a:ext uri="{FF2B5EF4-FFF2-40B4-BE49-F238E27FC236}">
              <a16:creationId xmlns:a16="http://schemas.microsoft.com/office/drawing/2014/main" id="{BD190C33-0066-4041-AAA2-B73680CE89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87625" y="596809"/>
          <a:ext cx="1050997" cy="330404"/>
        </a:xfrm>
        <a:prstGeom prst="rect">
          <a:avLst/>
        </a:prstGeom>
      </xdr:spPr>
    </xdr:pic>
    <xdr:clientData/>
  </xdr:twoCellAnchor>
  <xdr:twoCellAnchor>
    <xdr:from>
      <xdr:col>13</xdr:col>
      <xdr:colOff>325482</xdr:colOff>
      <xdr:row>6</xdr:row>
      <xdr:rowOff>28030</xdr:rowOff>
    </xdr:from>
    <xdr:to>
      <xdr:col>25</xdr:col>
      <xdr:colOff>508000</xdr:colOff>
      <xdr:row>33</xdr:row>
      <xdr:rowOff>17416</xdr:rowOff>
    </xdr:to>
    <xdr:graphicFrame macro="">
      <xdr:nvGraphicFramePr>
        <xdr:cNvPr id="3" name="Chart 2">
          <a:extLst>
            <a:ext uri="{FF2B5EF4-FFF2-40B4-BE49-F238E27FC236}">
              <a16:creationId xmlns:a16="http://schemas.microsoft.com/office/drawing/2014/main" id="{D64C7D71-3860-48AE-8F64-2454E1935A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4</xdr:col>
      <xdr:colOff>515471</xdr:colOff>
      <xdr:row>5</xdr:row>
      <xdr:rowOff>16135</xdr:rowOff>
    </xdr:from>
    <xdr:to>
      <xdr:col>10</xdr:col>
      <xdr:colOff>515470</xdr:colOff>
      <xdr:row>25</xdr:row>
      <xdr:rowOff>20505</xdr:rowOff>
    </xdr:to>
    <xdr:graphicFrame macro="">
      <xdr:nvGraphicFramePr>
        <xdr:cNvPr id="2" name="Chart 1">
          <a:extLst>
            <a:ext uri="{FF2B5EF4-FFF2-40B4-BE49-F238E27FC236}">
              <a16:creationId xmlns:a16="http://schemas.microsoft.com/office/drawing/2014/main" id="{6A0E1F35-BBE7-495F-9F90-7C764F76773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5</xdr:row>
      <xdr:rowOff>0</xdr:rowOff>
    </xdr:from>
    <xdr:to>
      <xdr:col>16</xdr:col>
      <xdr:colOff>672352</xdr:colOff>
      <xdr:row>25</xdr:row>
      <xdr:rowOff>4370</xdr:rowOff>
    </xdr:to>
    <xdr:graphicFrame macro="">
      <xdr:nvGraphicFramePr>
        <xdr:cNvPr id="3" name="Chart 2">
          <a:extLst>
            <a:ext uri="{FF2B5EF4-FFF2-40B4-BE49-F238E27FC236}">
              <a16:creationId xmlns:a16="http://schemas.microsoft.com/office/drawing/2014/main" id="{C1964F41-BBDB-4260-885F-1E25E97DEE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14</xdr:col>
      <xdr:colOff>0</xdr:colOff>
      <xdr:row>1</xdr:row>
      <xdr:rowOff>0</xdr:rowOff>
    </xdr:from>
    <xdr:to>
      <xdr:col>15</xdr:col>
      <xdr:colOff>572</xdr:colOff>
      <xdr:row>2</xdr:row>
      <xdr:rowOff>74177</xdr:rowOff>
    </xdr:to>
    <xdr:pic>
      <xdr:nvPicPr>
        <xdr:cNvPr id="5" name="Bildobjekt 53">
          <a:extLst>
            <a:ext uri="{FF2B5EF4-FFF2-40B4-BE49-F238E27FC236}">
              <a16:creationId xmlns:a16="http://schemas.microsoft.com/office/drawing/2014/main" id="{AFB1B244-8AB1-4565-B188-331A7571F1A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86118" y="575235"/>
          <a:ext cx="1040702" cy="3057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654050</xdr:colOff>
      <xdr:row>1</xdr:row>
      <xdr:rowOff>0</xdr:rowOff>
    </xdr:from>
    <xdr:to>
      <xdr:col>15</xdr:col>
      <xdr:colOff>364180</xdr:colOff>
      <xdr:row>2</xdr:row>
      <xdr:rowOff>78400</xdr:rowOff>
    </xdr:to>
    <xdr:pic>
      <xdr:nvPicPr>
        <xdr:cNvPr id="2" name="Bildobjekt 53">
          <a:extLst>
            <a:ext uri="{FF2B5EF4-FFF2-40B4-BE49-F238E27FC236}">
              <a16:creationId xmlns:a16="http://schemas.microsoft.com/office/drawing/2014/main" id="{C0BB3CA1-B367-462F-923F-4FC4B70D56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3250" y="571500"/>
          <a:ext cx="1036645" cy="307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791527</xdr:colOff>
      <xdr:row>17</xdr:row>
      <xdr:rowOff>139065</xdr:rowOff>
    </xdr:from>
    <xdr:to>
      <xdr:col>8</xdr:col>
      <xdr:colOff>454342</xdr:colOff>
      <xdr:row>33</xdr:row>
      <xdr:rowOff>139065</xdr:rowOff>
    </xdr:to>
    <xdr:graphicFrame macro="">
      <xdr:nvGraphicFramePr>
        <xdr:cNvPr id="2" name="Diagram 1">
          <a:extLst>
            <a:ext uri="{FF2B5EF4-FFF2-40B4-BE49-F238E27FC236}">
              <a16:creationId xmlns:a16="http://schemas.microsoft.com/office/drawing/2014/main" id="{67B74F4A-C934-44C6-A556-2F7845DFF375}"/>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14</xdr:col>
      <xdr:colOff>0</xdr:colOff>
      <xdr:row>1</xdr:row>
      <xdr:rowOff>0</xdr:rowOff>
    </xdr:from>
    <xdr:to>
      <xdr:col>15</xdr:col>
      <xdr:colOff>381890</xdr:colOff>
      <xdr:row>2</xdr:row>
      <xdr:rowOff>75578</xdr:rowOff>
    </xdr:to>
    <xdr:pic>
      <xdr:nvPicPr>
        <xdr:cNvPr id="3" name="Bildobjekt 53">
          <a:extLst>
            <a:ext uri="{FF2B5EF4-FFF2-40B4-BE49-F238E27FC236}">
              <a16:creationId xmlns:a16="http://schemas.microsoft.com/office/drawing/2014/main" id="{64356018-5D65-4BA1-90B2-7D8B5DA49A08}"/>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9499600" y="571500"/>
          <a:ext cx="1042290" cy="3041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0</xdr:colOff>
      <xdr:row>1</xdr:row>
      <xdr:rowOff>0</xdr:rowOff>
    </xdr:from>
    <xdr:to>
      <xdr:col>15</xdr:col>
      <xdr:colOff>382898</xdr:colOff>
      <xdr:row>2</xdr:row>
      <xdr:rowOff>74571</xdr:rowOff>
    </xdr:to>
    <xdr:pic>
      <xdr:nvPicPr>
        <xdr:cNvPr id="3" name="Bildobjekt 53">
          <a:extLst>
            <a:ext uri="{FF2B5EF4-FFF2-40B4-BE49-F238E27FC236}">
              <a16:creationId xmlns:a16="http://schemas.microsoft.com/office/drawing/2014/main" id="{C135224E-66D5-4A55-9F6F-4A14E83D5F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32429" y="181429"/>
          <a:ext cx="1045113" cy="30135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0</xdr:colOff>
      <xdr:row>1</xdr:row>
      <xdr:rowOff>0</xdr:rowOff>
    </xdr:from>
    <xdr:to>
      <xdr:col>15</xdr:col>
      <xdr:colOff>381890</xdr:colOff>
      <xdr:row>2</xdr:row>
      <xdr:rowOff>75578</xdr:rowOff>
    </xdr:to>
    <xdr:pic>
      <xdr:nvPicPr>
        <xdr:cNvPr id="2" name="Bildobjekt 53">
          <a:extLst>
            <a:ext uri="{FF2B5EF4-FFF2-40B4-BE49-F238E27FC236}">
              <a16:creationId xmlns:a16="http://schemas.microsoft.com/office/drawing/2014/main" id="{D4C2BD51-AEBA-4304-9982-57028DEB24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26750" y="571500"/>
          <a:ext cx="1040703" cy="305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14</xdr:col>
      <xdr:colOff>0</xdr:colOff>
      <xdr:row>1</xdr:row>
      <xdr:rowOff>0</xdr:rowOff>
    </xdr:from>
    <xdr:to>
      <xdr:col>15</xdr:col>
      <xdr:colOff>363792</xdr:colOff>
      <xdr:row>2</xdr:row>
      <xdr:rowOff>77166</xdr:rowOff>
    </xdr:to>
    <xdr:pic>
      <xdr:nvPicPr>
        <xdr:cNvPr id="4" name="Bildobjekt 53">
          <a:extLst>
            <a:ext uri="{FF2B5EF4-FFF2-40B4-BE49-F238E27FC236}">
              <a16:creationId xmlns:a16="http://schemas.microsoft.com/office/drawing/2014/main" id="{01BE1FD4-D513-4C02-804D-73ED97729D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04600" y="571500"/>
          <a:ext cx="1040702" cy="30576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14</xdr:col>
      <xdr:colOff>0</xdr:colOff>
      <xdr:row>1</xdr:row>
      <xdr:rowOff>0</xdr:rowOff>
    </xdr:from>
    <xdr:to>
      <xdr:col>15</xdr:col>
      <xdr:colOff>381889</xdr:colOff>
      <xdr:row>2</xdr:row>
      <xdr:rowOff>75578</xdr:rowOff>
    </xdr:to>
    <xdr:pic>
      <xdr:nvPicPr>
        <xdr:cNvPr id="3" name="Bildobjekt 53">
          <a:extLst>
            <a:ext uri="{FF2B5EF4-FFF2-40B4-BE49-F238E27FC236}">
              <a16:creationId xmlns:a16="http://schemas.microsoft.com/office/drawing/2014/main" id="{25D23A01-209A-4DB4-83B2-236B417AF4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56938" y="571500"/>
          <a:ext cx="1040702" cy="30576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14</xdr:col>
      <xdr:colOff>0</xdr:colOff>
      <xdr:row>1</xdr:row>
      <xdr:rowOff>0</xdr:rowOff>
    </xdr:from>
    <xdr:to>
      <xdr:col>15</xdr:col>
      <xdr:colOff>149886</xdr:colOff>
      <xdr:row>2</xdr:row>
      <xdr:rowOff>73764</xdr:rowOff>
    </xdr:to>
    <xdr:pic>
      <xdr:nvPicPr>
        <xdr:cNvPr id="3" name="Bildobjekt 53">
          <a:extLst>
            <a:ext uri="{FF2B5EF4-FFF2-40B4-BE49-F238E27FC236}">
              <a16:creationId xmlns:a16="http://schemas.microsoft.com/office/drawing/2014/main" id="{8E02AC13-2B14-4DE8-8B84-A00C1C008E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890500" y="571500"/>
          <a:ext cx="1038887" cy="30395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14</xdr:col>
      <xdr:colOff>0</xdr:colOff>
      <xdr:row>1</xdr:row>
      <xdr:rowOff>1</xdr:rowOff>
    </xdr:from>
    <xdr:to>
      <xdr:col>14</xdr:col>
      <xdr:colOff>1046100</xdr:colOff>
      <xdr:row>2</xdr:row>
      <xdr:rowOff>93458</xdr:rowOff>
    </xdr:to>
    <xdr:pic>
      <xdr:nvPicPr>
        <xdr:cNvPr id="2" name="Bildobjekt 53">
          <a:extLst>
            <a:ext uri="{FF2B5EF4-FFF2-40B4-BE49-F238E27FC236}">
              <a16:creationId xmlns:a16="http://schemas.microsoft.com/office/drawing/2014/main" id="{83EE30DC-CE61-4F54-B2C7-5B1DAF2484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428882" y="575236"/>
          <a:ext cx="1042290" cy="321236"/>
        </a:xfrm>
        <a:prstGeom prst="rect">
          <a:avLst/>
        </a:prstGeom>
      </xdr:spPr>
    </xdr:pic>
    <xdr:clientData/>
  </xdr:twoCellAnchor>
  <xdr:twoCellAnchor>
    <xdr:from>
      <xdr:col>4</xdr:col>
      <xdr:colOff>369298</xdr:colOff>
      <xdr:row>152</xdr:row>
      <xdr:rowOff>78133</xdr:rowOff>
    </xdr:from>
    <xdr:to>
      <xdr:col>6</xdr:col>
      <xdr:colOff>847453</xdr:colOff>
      <xdr:row>167</xdr:row>
      <xdr:rowOff>21111</xdr:rowOff>
    </xdr:to>
    <xdr:graphicFrame macro="">
      <xdr:nvGraphicFramePr>
        <xdr:cNvPr id="3" name="Chart 2">
          <a:extLst>
            <a:ext uri="{FF2B5EF4-FFF2-40B4-BE49-F238E27FC236}">
              <a16:creationId xmlns:a16="http://schemas.microsoft.com/office/drawing/2014/main" id="{A7D238B1-E857-4D27-916D-9E5FF65F924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Sweco Templafy">
  <a:themeElements>
    <a:clrScheme name="Sweco">
      <a:dk1>
        <a:sysClr val="windowText" lastClr="000000"/>
      </a:dk1>
      <a:lt1>
        <a:srgbClr val="FFFFFF"/>
      </a:lt1>
      <a:dk2>
        <a:srgbClr val="3F3F42"/>
      </a:dk2>
      <a:lt2>
        <a:srgbClr val="E2E0DA"/>
      </a:lt2>
      <a:accent1>
        <a:srgbClr val="A4A4A6"/>
      </a:accent1>
      <a:accent2>
        <a:srgbClr val="DEC55B"/>
      </a:accent2>
      <a:accent3>
        <a:srgbClr val="9DD354"/>
      </a:accent3>
      <a:accent4>
        <a:srgbClr val="C0D4FD"/>
      </a:accent4>
      <a:accent5>
        <a:srgbClr val="F2B1DC"/>
      </a:accent5>
      <a:accent6>
        <a:srgbClr val="3F3F42"/>
      </a:accent6>
      <a:hlink>
        <a:srgbClr val="8593AF"/>
      </a:hlink>
      <a:folHlink>
        <a:srgbClr val="7A9B62"/>
      </a:folHlink>
    </a:clrScheme>
    <a:fontScheme name="Sweco">
      <a:majorFont>
        <a:latin typeface="Sweco Sans"/>
        <a:ea typeface=""/>
        <a:cs typeface=""/>
      </a:majorFont>
      <a:minorFont>
        <a:latin typeface="Sweco Sa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accent1"/>
          </a:solidFill>
        </a:ln>
      </a:spPr>
      <a:bodyPr lIns="72000" tIns="36000" rIns="72000" bIns="36000" rtlCol="0" anchor="ctr"/>
      <a:lstStyle>
        <a:defPPr algn="ctr">
          <a:defRPr sz="1600" noProof="0" dirty="0" err="1"/>
        </a:defPPr>
      </a:lstStyle>
      <a:style>
        <a:lnRef idx="2">
          <a:schemeClr val="accent1">
            <a:shade val="50000"/>
          </a:schemeClr>
        </a:lnRef>
        <a:fillRef idx="1">
          <a:schemeClr val="accent1"/>
        </a:fillRef>
        <a:effectRef idx="0">
          <a:schemeClr val="accent1"/>
        </a:effectRef>
        <a:fontRef idx="minor">
          <a:schemeClr val="lt1"/>
        </a:fontRef>
      </a:style>
    </a:spDef>
    <a:lnDef>
      <a:spPr>
        <a:ln>
          <a:solidFill>
            <a:schemeClr val="accent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0" tIns="0" rIns="0" bIns="0" rtlCol="0">
        <a:spAutoFit/>
      </a:bodyPr>
      <a:lstStyle>
        <a:defPPr algn="l">
          <a:defRPr sz="1600" dirty="0" err="1"/>
        </a:defPPr>
      </a:lstStyle>
    </a:txDef>
  </a:objectDefaults>
  <a:extraClrSchemeLst/>
  <a:custClrLst>
    <a:custClr name="Cool gray 1">
      <a:srgbClr val="E2E0DA"/>
    </a:custClr>
    <a:custClr name="Cool gray 6">
      <a:srgbClr val="A4A4A6"/>
    </a:custClr>
    <a:custClr name="433 U / Cool gray 11 C">
      <a:srgbClr val="3F3F42"/>
    </a:custClr>
    <a:custClr name="White">
      <a:srgbClr val="FFFFFF"/>
    </a:custClr>
    <a:custClr name="Color has no name">
      <a:srgbClr val="FFFFFF"/>
    </a:custClr>
    <a:custClr name="Color has no name">
      <a:srgbClr val="FFFFFF"/>
    </a:custClr>
    <a:custClr name="Color has no name">
      <a:srgbClr val="FFFFFF"/>
    </a:custClr>
    <a:custClr name="Color has no name">
      <a:srgbClr val="FFFFFF"/>
    </a:custClr>
    <a:custClr name="Color has no name">
      <a:srgbClr val="FFFFFF"/>
    </a:custClr>
    <a:custClr name="Color has no name">
      <a:srgbClr val="FFFFFF"/>
    </a:custClr>
    <a:custClr name="459 U /458 C">
      <a:srgbClr val="DEC55B"/>
    </a:custClr>
    <a:custClr name="2299 U/C">
      <a:srgbClr val="9DD354"/>
    </a:custClr>
    <a:custClr name="277 U/C">
      <a:srgbClr val="C0D4FD"/>
    </a:custClr>
    <a:custClr name="671 U/C">
      <a:srgbClr val="F2B1DC"/>
    </a:custClr>
    <a:custClr name="Color has no name">
      <a:srgbClr val="FFFFFF"/>
    </a:custClr>
    <a:custClr name="Color has no name">
      <a:srgbClr val="FFFFFF"/>
    </a:custClr>
    <a:custClr name="Color has no name">
      <a:srgbClr val="FFFFFF"/>
    </a:custClr>
    <a:custClr name="Color has no name">
      <a:srgbClr val="FFFFFF"/>
    </a:custClr>
    <a:custClr name="Color has no name">
      <a:srgbClr val="FFFFFF"/>
    </a:custClr>
    <a:custClr name="Color has no name">
      <a:srgbClr val="FFFFFF"/>
    </a:custClr>
    <a:custClr name="457 U / 456 C">
      <a:srgbClr val="A48730"/>
    </a:custClr>
    <a:custClr name="576 U / 575 C">
      <a:srgbClr val="7A9B62"/>
    </a:custClr>
    <a:custClr name="2156 U/C">
      <a:srgbClr val="8593AF"/>
    </a:custClr>
    <a:custClr name="7654 U/C">
      <a:srgbClr val="B484A2"/>
    </a:custClr>
  </a:custClrLst>
  <a:extLst>
    <a:ext uri="{05A4C25C-085E-4340-85A3-A5531E510DB2}">
      <thm15:themeFamily xmlns:thm15="http://schemas.microsoft.com/office/thememl/2012/main" name="Sweco Templafy" id="{46E0D35A-CA90-4713-AC61-F0382F8D7E96}" vid="{42A9F353-014C-4E9D-B15F-E3CDD5F5CC0C}"/>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94D93-9DDC-4EB8-ADB4-DB4B0A87217D}">
  <sheetPr>
    <tabColor theme="4" tint="0.59999389629810485"/>
  </sheetPr>
  <dimension ref="A2:M12"/>
  <sheetViews>
    <sheetView showGridLines="0" tabSelected="1" workbookViewId="0">
      <selection activeCell="F11" sqref="F11"/>
    </sheetView>
  </sheetViews>
  <sheetFormatPr defaultRowHeight="14.25"/>
  <cols>
    <col min="1" max="1" width="3.125" customWidth="1"/>
    <col min="2" max="4" width="11.125" customWidth="1"/>
  </cols>
  <sheetData>
    <row r="2" spans="1:13" ht="18.75">
      <c r="B2" s="260" t="s">
        <v>0</v>
      </c>
      <c r="C2" s="260"/>
      <c r="D2" s="260"/>
      <c r="E2" s="260"/>
      <c r="F2" s="260"/>
      <c r="G2" s="260"/>
      <c r="H2" s="260"/>
      <c r="I2" s="260"/>
      <c r="J2" s="260"/>
      <c r="K2" s="260"/>
      <c r="L2" s="260"/>
    </row>
    <row r="3" spans="1:13">
      <c r="B3" s="261" t="s">
        <v>1</v>
      </c>
      <c r="C3" s="261"/>
      <c r="D3" s="262"/>
      <c r="E3" s="261" t="s">
        <v>2</v>
      </c>
      <c r="F3" s="261"/>
      <c r="G3" s="263" t="s">
        <v>3</v>
      </c>
      <c r="H3" s="264"/>
      <c r="I3" s="265"/>
      <c r="J3" s="263" t="s">
        <v>4</v>
      </c>
      <c r="K3" s="264"/>
      <c r="L3" s="119" t="s">
        <v>5</v>
      </c>
    </row>
    <row r="4" spans="1:13">
      <c r="B4" s="266" t="s">
        <v>6</v>
      </c>
      <c r="C4" s="266"/>
      <c r="D4" s="267"/>
      <c r="E4" s="266" t="s">
        <v>7</v>
      </c>
      <c r="F4" s="266"/>
      <c r="G4" s="268" t="s">
        <v>8</v>
      </c>
      <c r="H4" s="269"/>
      <c r="I4" s="270"/>
      <c r="J4" s="271">
        <v>44631</v>
      </c>
      <c r="K4" s="272"/>
      <c r="L4" s="120">
        <v>12</v>
      </c>
    </row>
    <row r="5" spans="1:13" ht="15" customHeight="1">
      <c r="A5" s="1"/>
    </row>
    <row r="6" spans="1:13" ht="18">
      <c r="B6" s="3" t="s">
        <v>9</v>
      </c>
    </row>
    <row r="7" spans="1:13" ht="12" customHeight="1">
      <c r="B7" s="3"/>
    </row>
    <row r="8" spans="1:13" ht="12" customHeight="1">
      <c r="B8" s="10"/>
      <c r="C8" s="11"/>
      <c r="D8" s="11"/>
      <c r="E8" s="11"/>
      <c r="F8" s="11"/>
      <c r="G8" s="11"/>
      <c r="H8" s="11"/>
      <c r="I8" s="11"/>
      <c r="J8" s="11"/>
      <c r="K8" s="11"/>
      <c r="L8" s="11"/>
      <c r="M8" s="11"/>
    </row>
    <row r="10" spans="1:13" ht="46.35" customHeight="1">
      <c r="B10" s="259" t="s">
        <v>10</v>
      </c>
      <c r="C10" s="259"/>
      <c r="D10" s="259"/>
      <c r="E10" s="259"/>
      <c r="F10" s="259"/>
      <c r="G10" s="259"/>
      <c r="H10" s="259"/>
      <c r="I10" s="259"/>
      <c r="J10" s="259"/>
      <c r="K10" s="259"/>
      <c r="L10" s="259"/>
      <c r="M10" s="259"/>
    </row>
    <row r="12" spans="1:13" ht="265.7" customHeight="1">
      <c r="B12" s="259" t="s">
        <v>11</v>
      </c>
      <c r="C12" s="259"/>
      <c r="D12" s="259"/>
      <c r="E12" s="259"/>
      <c r="F12" s="259"/>
      <c r="G12" s="259"/>
      <c r="H12" s="259"/>
      <c r="I12" s="259"/>
      <c r="J12" s="259"/>
      <c r="K12" s="259"/>
      <c r="L12" s="259"/>
      <c r="M12" s="259"/>
    </row>
  </sheetData>
  <mergeCells count="11">
    <mergeCell ref="B10:M10"/>
    <mergeCell ref="B12:M12"/>
    <mergeCell ref="B2:L2"/>
    <mergeCell ref="B3:D3"/>
    <mergeCell ref="E3:F3"/>
    <mergeCell ref="G3:I3"/>
    <mergeCell ref="J3:K3"/>
    <mergeCell ref="B4:D4"/>
    <mergeCell ref="E4:F4"/>
    <mergeCell ref="G4:I4"/>
    <mergeCell ref="J4:K4"/>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80930-2805-4E4B-A05A-EB05A56B0DA2}">
  <sheetPr>
    <tabColor theme="6" tint="0.39997558519241921"/>
  </sheetPr>
  <dimension ref="A1:P79"/>
  <sheetViews>
    <sheetView showGridLines="0" zoomScale="55" zoomScaleNormal="55" workbookViewId="0">
      <selection activeCell="C19" sqref="C19"/>
    </sheetView>
  </sheetViews>
  <sheetFormatPr defaultRowHeight="14.25"/>
  <cols>
    <col min="1" max="1" width="4.5" customWidth="1"/>
    <col min="2" max="2" width="50.375" bestFit="1" customWidth="1"/>
    <col min="3" max="3" width="24.625" customWidth="1"/>
    <col min="4" max="4" width="18" customWidth="1"/>
    <col min="5" max="5" width="19" bestFit="1" customWidth="1"/>
    <col min="6" max="7" width="19" customWidth="1"/>
    <col min="8" max="8" width="15.625" bestFit="1" customWidth="1"/>
    <col min="12" max="12" width="12.125" bestFit="1" customWidth="1"/>
  </cols>
  <sheetData>
    <row r="1" spans="1:16" ht="45" customHeight="1">
      <c r="A1" s="1"/>
    </row>
    <row r="2" spans="1:16" ht="18">
      <c r="B2" s="3" t="s">
        <v>418</v>
      </c>
    </row>
    <row r="4" spans="1:16" ht="18">
      <c r="B4" s="126"/>
      <c r="C4" s="127"/>
      <c r="D4" s="127"/>
      <c r="E4" s="127"/>
      <c r="F4" s="127"/>
      <c r="G4" s="127"/>
      <c r="H4" s="127"/>
      <c r="I4" s="127"/>
      <c r="J4" s="127"/>
      <c r="K4" s="127"/>
      <c r="L4" s="127"/>
      <c r="M4" s="127"/>
      <c r="N4" s="127"/>
      <c r="O4" s="127"/>
      <c r="P4" s="127"/>
    </row>
    <row r="5" spans="1:16">
      <c r="B5" s="4"/>
    </row>
    <row r="6" spans="1:16" ht="15">
      <c r="B6" s="77" t="s">
        <v>419</v>
      </c>
    </row>
    <row r="8" spans="1:16" ht="15">
      <c r="B8" s="9" t="s">
        <v>420</v>
      </c>
      <c r="C8" s="14" t="s">
        <v>395</v>
      </c>
      <c r="D8" s="14" t="s">
        <v>397</v>
      </c>
      <c r="E8" s="14" t="s">
        <v>398</v>
      </c>
      <c r="F8" s="14" t="s">
        <v>421</v>
      </c>
      <c r="G8" s="14" t="s">
        <v>138</v>
      </c>
      <c r="H8" s="14" t="s">
        <v>422</v>
      </c>
      <c r="I8" s="14" t="s">
        <v>423</v>
      </c>
      <c r="L8" s="14" t="s">
        <v>414</v>
      </c>
    </row>
    <row r="9" spans="1:16" ht="15">
      <c r="B9" s="9" t="s">
        <v>424</v>
      </c>
    </row>
    <row r="10" spans="1:16">
      <c r="B10" t="str">
        <f>'Improvement timeline'!C159</f>
        <v>Local consultants</v>
      </c>
      <c r="C10" s="158">
        <f>INDEX('Improvement timeline'!$D$159:$D$166,MATCH(Summary!$B10,'Improvement timeline'!$C$159:$C$166,0))</f>
        <v>1779500</v>
      </c>
      <c r="D10" s="79"/>
      <c r="E10" s="79"/>
      <c r="F10" s="79"/>
      <c r="G10" s="79"/>
      <c r="L10" s="40" t="s">
        <v>72</v>
      </c>
    </row>
    <row r="11" spans="1:16">
      <c r="B11" t="str">
        <f>'Improvement timeline'!C160</f>
        <v>International consultant</v>
      </c>
      <c r="C11" s="158">
        <f>INDEX('Improvement timeline'!$D$159:$D$166,MATCH(Summary!$B11,'Improvement timeline'!$C$159:$C$166,0))</f>
        <v>1315750</v>
      </c>
      <c r="D11" s="79"/>
      <c r="E11" s="79"/>
      <c r="F11" s="79"/>
      <c r="G11" s="79"/>
      <c r="L11" s="81" t="s">
        <v>72</v>
      </c>
    </row>
    <row r="12" spans="1:16">
      <c r="B12" t="str">
        <f>'Improvement timeline'!C165</f>
        <v>Travel</v>
      </c>
      <c r="C12" s="158">
        <f>INDEX('Improvement timeline'!$D$159:$D$166,MATCH(Summary!$B12,'Improvement timeline'!$C$159:$C$166,0))</f>
        <v>315600</v>
      </c>
      <c r="D12" s="79"/>
      <c r="E12" s="79"/>
      <c r="F12" s="79"/>
      <c r="G12" s="79"/>
      <c r="L12" s="81" t="s">
        <v>72</v>
      </c>
    </row>
    <row r="13" spans="1:16">
      <c r="B13" t="str">
        <f>'Improvement timeline'!C166</f>
        <v xml:space="preserve">Professional/ Contractual Services </v>
      </c>
      <c r="C13" s="158">
        <f>INDEX('Improvement timeline'!$D$159:$D$166,MATCH(Summary!$B13,'Improvement timeline'!$C$159:$C$166,0))</f>
        <v>950673.91628907819</v>
      </c>
      <c r="D13" s="79"/>
      <c r="E13" s="79"/>
      <c r="F13" s="79"/>
      <c r="G13" s="79"/>
      <c r="L13" s="82" t="s">
        <v>72</v>
      </c>
    </row>
    <row r="14" spans="1:16">
      <c r="C14" s="79"/>
      <c r="D14" s="79"/>
      <c r="E14" s="79"/>
      <c r="F14" s="79"/>
      <c r="G14" s="79"/>
    </row>
    <row r="15" spans="1:16" ht="15">
      <c r="B15" s="14" t="s">
        <v>425</v>
      </c>
      <c r="C15" s="79"/>
      <c r="D15" s="79"/>
      <c r="E15" s="79"/>
      <c r="F15" s="79"/>
      <c r="G15" s="79"/>
    </row>
    <row r="16" spans="1:16">
      <c r="C16" s="79"/>
      <c r="D16" s="79"/>
      <c r="E16" s="79"/>
      <c r="F16" s="211"/>
      <c r="G16" s="79"/>
    </row>
    <row r="17" spans="2:14">
      <c r="C17" s="79"/>
      <c r="D17" s="79"/>
      <c r="E17" s="79"/>
      <c r="F17" s="79"/>
      <c r="G17" s="79"/>
    </row>
    <row r="18" spans="2:14" ht="15">
      <c r="B18" s="14" t="s">
        <v>426</v>
      </c>
      <c r="C18" s="79"/>
      <c r="D18" s="79"/>
      <c r="E18" s="79"/>
      <c r="F18" s="79"/>
      <c r="G18" s="79"/>
    </row>
    <row r="19" spans="2:14">
      <c r="B19" s="15" t="str">
        <f>'Improvement timeline'!B170</f>
        <v>Activity 1.1.1 Transport and mobility</v>
      </c>
      <c r="C19" s="79"/>
      <c r="D19" s="159">
        <f>'Improvement timeline'!E170</f>
        <v>4382634.5505888006</v>
      </c>
      <c r="F19" s="118"/>
      <c r="G19" s="80"/>
      <c r="L19" s="40" t="s">
        <v>72</v>
      </c>
    </row>
    <row r="20" spans="2:14">
      <c r="B20" s="15" t="str">
        <f>'Improvement timeline'!B171</f>
        <v>Activity 1.1.2 Stormwater management</v>
      </c>
      <c r="C20" s="79"/>
      <c r="D20" s="159">
        <f>'Improvement timeline'!E171</f>
        <v>1334006.5777500002</v>
      </c>
      <c r="F20" s="118"/>
      <c r="G20" s="80"/>
      <c r="L20" s="40" t="s">
        <v>72</v>
      </c>
    </row>
    <row r="21" spans="2:14">
      <c r="B21" s="15" t="str">
        <f>'Improvement timeline'!B172</f>
        <v>Activity 1.1.3 Water supply</v>
      </c>
      <c r="C21" s="79"/>
      <c r="D21" s="159">
        <f>'Improvement timeline'!E172</f>
        <v>532182.17500000005</v>
      </c>
      <c r="F21" s="118"/>
      <c r="G21" s="80"/>
      <c r="L21" s="40" t="s">
        <v>72</v>
      </c>
    </row>
    <row r="22" spans="2:14">
      <c r="B22" s="15" t="str">
        <f>'Improvement timeline'!B173</f>
        <v>Activity 1.1.4 Sanitation</v>
      </c>
      <c r="C22" s="79"/>
      <c r="D22" s="159">
        <f>'Improvement timeline'!E173</f>
        <v>88000</v>
      </c>
      <c r="F22" s="118"/>
      <c r="G22" s="80"/>
      <c r="L22" s="40" t="s">
        <v>72</v>
      </c>
    </row>
    <row r="23" spans="2:14">
      <c r="B23" s="15" t="str">
        <f>'Improvement timeline'!B174</f>
        <v>Activity 1.1.5 Energy</v>
      </c>
      <c r="C23" s="79"/>
      <c r="D23" s="159">
        <f>'Improvement timeline'!E174</f>
        <v>6052988.7000000011</v>
      </c>
      <c r="F23" s="212">
        <f>('Improvement timeline'!G193*'Improvement timeline'!E193*'Improvement timeline'!D193)+('Improvement timeline'!G194*'Improvement timeline'!E194*'Improvement timeline'!D194)+('Improvement timeline'!G196*'Improvement timeline'!E196*'Improvement timeline'!D196)</f>
        <v>2162840.4000000004</v>
      </c>
      <c r="G23" s="80"/>
      <c r="L23" s="40" t="s">
        <v>72</v>
      </c>
      <c r="N23" s="1"/>
    </row>
    <row r="24" spans="2:14">
      <c r="B24" s="15" t="str">
        <f>'Improvement timeline'!B175</f>
        <v>Activity 1.1.6 Solid waste</v>
      </c>
      <c r="C24" s="79"/>
      <c r="D24" s="159">
        <f>'Improvement timeline'!E175</f>
        <v>130982.50000000001</v>
      </c>
      <c r="F24" s="213"/>
      <c r="G24" s="80"/>
      <c r="L24" s="40" t="s">
        <v>72</v>
      </c>
    </row>
    <row r="25" spans="2:14">
      <c r="B25" s="15" t="str">
        <f>'Improvement timeline'!B176</f>
        <v>Activity 1.1.7 Community buildings</v>
      </c>
      <c r="C25" s="79"/>
      <c r="D25" s="159">
        <f>'Improvement timeline'!E176</f>
        <v>582409.30000000005</v>
      </c>
      <c r="F25" s="212">
        <f>'Improvement timeline'!D195*'Improvement timeline'!E195*'Improvement timeline'!G195</f>
        <v>10454.4</v>
      </c>
      <c r="G25" s="80"/>
      <c r="H25" s="1"/>
      <c r="L25" s="40" t="s">
        <v>72</v>
      </c>
      <c r="N25" s="1"/>
    </row>
    <row r="26" spans="2:14" ht="28.5">
      <c r="B26" s="15" t="str">
        <f>'Improvement timeline'!B177</f>
        <v>Activity 1.2.1 Community ownership, gender equality and sustainability</v>
      </c>
      <c r="C26" s="79"/>
      <c r="D26" s="159">
        <f>'Improvement timeline'!E177</f>
        <v>0</v>
      </c>
      <c r="E26" s="80"/>
      <c r="F26" s="101"/>
      <c r="G26" s="80"/>
      <c r="L26" s="40" t="s">
        <v>72</v>
      </c>
    </row>
    <row r="27" spans="2:14" ht="28.5">
      <c r="B27" s="15" t="str">
        <f>'Improvement timeline'!B178</f>
        <v>Activity 1.2.2 TVET operationalised to serve as a learning and innovation centre for climate responsive upgrades</v>
      </c>
      <c r="C27" s="79"/>
      <c r="D27" s="159">
        <f>'Improvement timeline'!E178</f>
        <v>0</v>
      </c>
      <c r="E27" s="80"/>
      <c r="F27" s="101"/>
      <c r="G27" s="80"/>
      <c r="L27" s="40" t="s">
        <v>72</v>
      </c>
    </row>
    <row r="28" spans="2:14" ht="28.5">
      <c r="B28" s="15" t="str">
        <f>'Improvement timeline'!B179</f>
        <v>Activity 1.2.3 Awareness raising and citizen engagement in climate responsive regeneration</v>
      </c>
      <c r="C28" s="79"/>
      <c r="D28" s="159">
        <f>'Improvement timeline'!E179</f>
        <v>0</v>
      </c>
      <c r="E28" s="80"/>
      <c r="F28" s="101"/>
      <c r="G28" s="80"/>
      <c r="L28" s="40" t="s">
        <v>72</v>
      </c>
    </row>
    <row r="29" spans="2:14" ht="28.5">
      <c r="B29" s="15" t="str">
        <f>'Improvement timeline'!B180</f>
        <v>Activity 2.1.1 Institutional capacity development of GoR agencies</v>
      </c>
      <c r="C29" s="79"/>
      <c r="D29" s="159">
        <f>'Improvement timeline'!E180</f>
        <v>0</v>
      </c>
      <c r="E29" s="80"/>
      <c r="F29" s="101"/>
      <c r="G29" s="80"/>
      <c r="L29" s="40" t="s">
        <v>72</v>
      </c>
    </row>
    <row r="30" spans="2:14" ht="28.5">
      <c r="B30" s="15" t="str">
        <f>'Improvement timeline'!B181</f>
        <v>Activity 2.1.2 Blueprinting the GCK and Planning code for GoR</v>
      </c>
      <c r="C30" s="79"/>
      <c r="D30" s="159">
        <f>'Improvement timeline'!E181</f>
        <v>0</v>
      </c>
      <c r="E30" s="80"/>
      <c r="F30" s="101"/>
      <c r="G30" s="80"/>
      <c r="L30" s="40" t="s">
        <v>72</v>
      </c>
    </row>
    <row r="31" spans="2:14">
      <c r="B31" s="15" t="str">
        <f>'Improvement timeline'!B182</f>
        <v>Activity 2.1.3 Development of recycling value chains</v>
      </c>
      <c r="C31" s="79"/>
      <c r="D31" s="159">
        <f>'Improvement timeline'!E182</f>
        <v>0</v>
      </c>
      <c r="E31" s="80"/>
      <c r="F31" s="101"/>
      <c r="G31" s="80"/>
      <c r="L31" s="40" t="s">
        <v>72</v>
      </c>
    </row>
    <row r="32" spans="2:14" ht="42.75">
      <c r="B32" s="15" t="str">
        <f>'Improvement timeline'!B183</f>
        <v>Activity 2.2.1  Policy support for an enabling environment and mainstreaming green city development standards and approaches into regulatory and planning frameworks</v>
      </c>
      <c r="C32" s="79"/>
      <c r="D32" s="159">
        <f>'Improvement timeline'!E183</f>
        <v>0</v>
      </c>
      <c r="E32" s="80"/>
      <c r="F32" s="101"/>
      <c r="G32" s="80"/>
      <c r="L32" s="40" t="s">
        <v>72</v>
      </c>
    </row>
    <row r="33" spans="2:14" ht="28.5">
      <c r="B33" s="15" t="str">
        <f>'Improvement timeline'!B184</f>
        <v>Activity 2.2.2  Knowledge management system developed on climate responsive regeneration</v>
      </c>
      <c r="C33" s="79"/>
      <c r="D33" s="159">
        <f>'Improvement timeline'!E184</f>
        <v>0</v>
      </c>
      <c r="E33" s="80"/>
      <c r="F33" s="212">
        <f>'Improvement timeline'!D197*'Improvement timeline'!E197*'Improvement timeline'!G197</f>
        <v>64799.999999999993</v>
      </c>
      <c r="G33" s="80"/>
      <c r="L33" s="40" t="s">
        <v>72</v>
      </c>
      <c r="N33" s="1"/>
    </row>
    <row r="34" spans="2:14">
      <c r="B34" s="15" t="str">
        <f>'Improvement timeline'!B185</f>
        <v>Project Management Component</v>
      </c>
      <c r="C34" s="79"/>
      <c r="D34" s="159">
        <f>'Improvement timeline'!E185</f>
        <v>30000</v>
      </c>
      <c r="E34" s="80"/>
      <c r="F34" s="246"/>
      <c r="G34" s="80"/>
      <c r="L34" s="40" t="s">
        <v>72</v>
      </c>
      <c r="N34" s="1"/>
    </row>
    <row r="35" spans="2:14">
      <c r="C35" s="79"/>
      <c r="D35" s="79"/>
      <c r="E35" s="101"/>
      <c r="F35" s="117"/>
      <c r="G35" s="80"/>
    </row>
    <row r="36" spans="2:14" ht="15">
      <c r="B36" s="14" t="s">
        <v>427</v>
      </c>
      <c r="C36" s="79"/>
      <c r="D36" s="79"/>
      <c r="E36" s="101"/>
      <c r="F36" s="117"/>
      <c r="G36" s="80"/>
    </row>
    <row r="37" spans="2:14">
      <c r="B37" t="s">
        <v>428</v>
      </c>
      <c r="C37" s="79"/>
      <c r="D37" s="79"/>
      <c r="E37" s="101"/>
      <c r="F37" s="117"/>
    </row>
    <row r="38" spans="2:14">
      <c r="B38" t="str">
        <f>'Improvement timeline'!C164</f>
        <v>Training, workshops, and conference</v>
      </c>
      <c r="C38" s="79"/>
      <c r="D38" s="79"/>
      <c r="E38" s="195">
        <f>'Improvement timeline'!D164</f>
        <v>168950</v>
      </c>
      <c r="F38" s="117"/>
      <c r="G38" s="80"/>
      <c r="L38" s="40" t="s">
        <v>72</v>
      </c>
    </row>
    <row r="39" spans="2:14">
      <c r="B39" t="s">
        <v>429</v>
      </c>
      <c r="C39" s="79"/>
      <c r="D39" s="79"/>
      <c r="E39" s="99"/>
      <c r="F39" s="117"/>
      <c r="G39" s="80"/>
      <c r="L39" s="81"/>
    </row>
    <row r="40" spans="2:14">
      <c r="B40" t="s">
        <v>430</v>
      </c>
      <c r="C40" s="79"/>
      <c r="D40" s="79"/>
      <c r="E40" s="195">
        <f>'Improvement timeline'!D161</f>
        <v>902000</v>
      </c>
      <c r="F40" s="117"/>
      <c r="G40" s="108"/>
      <c r="L40" s="81" t="s">
        <v>72</v>
      </c>
    </row>
    <row r="41" spans="2:14">
      <c r="B41" t="s">
        <v>166</v>
      </c>
      <c r="C41" s="79"/>
      <c r="D41" s="79"/>
      <c r="E41" s="101"/>
      <c r="F41" s="117"/>
      <c r="G41" s="80"/>
      <c r="L41" s="82" t="s">
        <v>72</v>
      </c>
    </row>
    <row r="42" spans="2:14" hidden="1">
      <c r="B42" t="s">
        <v>431</v>
      </c>
      <c r="E42" s="196" t="s">
        <v>432</v>
      </c>
      <c r="F42" s="117"/>
      <c r="G42" s="80"/>
    </row>
    <row r="43" spans="2:14" hidden="1">
      <c r="B43" t="s">
        <v>433</v>
      </c>
      <c r="E43" s="196" t="s">
        <v>432</v>
      </c>
      <c r="F43" s="80"/>
      <c r="G43" s="80"/>
    </row>
    <row r="44" spans="2:14" ht="15">
      <c r="B44" s="14" t="s">
        <v>434</v>
      </c>
      <c r="C44" s="160">
        <f>SUM(C10:C43)</f>
        <v>4361523.9162890781</v>
      </c>
      <c r="D44" s="161">
        <f>SUM(D10:D43)</f>
        <v>13133203.803338803</v>
      </c>
      <c r="E44" s="161">
        <f t="shared" ref="E44:G44" si="0">SUM(E10:E43)</f>
        <v>1070950</v>
      </c>
      <c r="F44" s="161">
        <f>SUM(F10:F43)</f>
        <v>2238094.8000000003</v>
      </c>
      <c r="G44" s="161">
        <f t="shared" si="0"/>
        <v>0</v>
      </c>
    </row>
    <row r="45" spans="2:14" ht="15">
      <c r="B45" s="14" t="s">
        <v>435</v>
      </c>
      <c r="C45" s="162">
        <f>SUM(C44:E44)</f>
        <v>18565677.71962788</v>
      </c>
      <c r="D45" s="99"/>
      <c r="E45" s="99"/>
      <c r="F45" s="99"/>
      <c r="G45" s="99"/>
    </row>
    <row r="46" spans="2:14" ht="15">
      <c r="B46" s="14" t="s">
        <v>436</v>
      </c>
      <c r="C46" s="163">
        <f>SUM(C44:G44)</f>
        <v>20803772.51962788</v>
      </c>
      <c r="D46" s="99"/>
      <c r="E46" s="99"/>
      <c r="F46" s="99"/>
      <c r="G46" s="99"/>
    </row>
    <row r="48" spans="2:14" ht="15">
      <c r="B48" s="78" t="s">
        <v>437</v>
      </c>
    </row>
    <row r="50" spans="2:8">
      <c r="B50" t="s">
        <v>77</v>
      </c>
      <c r="C50">
        <f>Assumptions!H6</f>
        <v>2023</v>
      </c>
      <c r="D50">
        <f>Assumptions!I6</f>
        <v>2024</v>
      </c>
      <c r="E50">
        <f>Assumptions!J6</f>
        <v>2025</v>
      </c>
      <c r="F50">
        <f>Assumptions!K6</f>
        <v>2026</v>
      </c>
      <c r="G50">
        <f>Assumptions!L6</f>
        <v>2027</v>
      </c>
    </row>
    <row r="51" spans="2:8">
      <c r="B51" t="s">
        <v>78</v>
      </c>
      <c r="C51">
        <f>Assumptions!H7</f>
        <v>1</v>
      </c>
      <c r="D51">
        <f>Assumptions!I7</f>
        <v>2</v>
      </c>
      <c r="E51">
        <f>Assumptions!J7</f>
        <v>3</v>
      </c>
      <c r="F51">
        <f>Assumptions!K7</f>
        <v>4</v>
      </c>
      <c r="G51">
        <f>Assumptions!L7</f>
        <v>5</v>
      </c>
    </row>
    <row r="53" spans="2:8">
      <c r="B53" t="s">
        <v>438</v>
      </c>
      <c r="C53" s="187">
        <f>'Improvement timeline'!M148</f>
        <v>784583.80323244061</v>
      </c>
      <c r="D53" s="188">
        <f>'Improvement timeline'!N148</f>
        <v>1461022.0875509307</v>
      </c>
      <c r="E53" s="188">
        <f>'Improvement timeline'!O148</f>
        <v>14238495.265571991</v>
      </c>
      <c r="F53" s="188">
        <f>'Improvement timeline'!P148</f>
        <v>1174626.5632725165</v>
      </c>
      <c r="G53" s="189">
        <f>'Improvement timeline'!Q148</f>
        <v>906950</v>
      </c>
    </row>
    <row r="55" spans="2:8" ht="15">
      <c r="B55" s="14" t="s">
        <v>439</v>
      </c>
      <c r="E55" s="1" t="s">
        <v>440</v>
      </c>
    </row>
    <row r="56" spans="2:8">
      <c r="B56" t="s">
        <v>441</v>
      </c>
      <c r="C56" s="190">
        <f>C45</f>
        <v>18565677.71962788</v>
      </c>
      <c r="D56" s="12" t="s">
        <v>92</v>
      </c>
      <c r="E56" s="100"/>
    </row>
    <row r="57" spans="2:8">
      <c r="C57" s="99"/>
      <c r="D57" s="12"/>
    </row>
    <row r="58" spans="2:8">
      <c r="B58" t="s">
        <v>442</v>
      </c>
      <c r="C58" s="190">
        <f>C56/Dashboard!C17</f>
        <v>11362.103867581322</v>
      </c>
      <c r="D58" s="12" t="s">
        <v>92</v>
      </c>
      <c r="E58" s="8" t="s">
        <v>443</v>
      </c>
      <c r="F58" s="102"/>
      <c r="G58" s="102"/>
      <c r="H58" s="103"/>
    </row>
    <row r="59" spans="2:8">
      <c r="C59" s="99"/>
      <c r="D59" s="12"/>
    </row>
    <row r="60" spans="2:8">
      <c r="B60" t="s">
        <v>444</v>
      </c>
      <c r="C60" s="190">
        <f>C56/Dashboard!C23</f>
        <v>2260.7985532912662</v>
      </c>
      <c r="D60" s="12" t="s">
        <v>92</v>
      </c>
      <c r="E60" s="8" t="s">
        <v>445</v>
      </c>
      <c r="F60" s="102"/>
      <c r="G60" s="102"/>
      <c r="H60" s="103"/>
    </row>
    <row r="61" spans="2:8">
      <c r="C61" s="99"/>
      <c r="D61" s="12"/>
    </row>
    <row r="62" spans="2:8">
      <c r="B62" t="s">
        <v>446</v>
      </c>
      <c r="C62" s="190">
        <f>C45/Dashboard!C15</f>
        <v>82882.489819767317</v>
      </c>
      <c r="D62" s="12" t="s">
        <v>92</v>
      </c>
      <c r="E62" s="204" t="s">
        <v>447</v>
      </c>
      <c r="F62" s="102"/>
      <c r="G62" s="102"/>
      <c r="H62" s="103"/>
    </row>
    <row r="63" spans="2:8">
      <c r="C63" s="99"/>
      <c r="D63" s="12"/>
    </row>
    <row r="64" spans="2:8">
      <c r="B64" t="s">
        <v>448</v>
      </c>
      <c r="C64" s="190">
        <f>C45/Dashboard!C19</f>
        <v>12982.991412327188</v>
      </c>
      <c r="D64" s="12" t="s">
        <v>92</v>
      </c>
    </row>
    <row r="65" spans="2:8">
      <c r="C65" s="99"/>
      <c r="D65" s="12"/>
    </row>
    <row r="66" spans="2:8">
      <c r="B66" t="s">
        <v>449</v>
      </c>
      <c r="C66" s="190">
        <f>C56/Dashboard!C38</f>
        <v>1031426.5399793267</v>
      </c>
      <c r="D66" s="12" t="s">
        <v>92</v>
      </c>
    </row>
    <row r="68" spans="2:8" ht="15">
      <c r="B68" s="14" t="s">
        <v>450</v>
      </c>
      <c r="E68" s="1" t="s">
        <v>451</v>
      </c>
    </row>
    <row r="69" spans="2:8">
      <c r="B69" t="s">
        <v>452</v>
      </c>
      <c r="C69" s="190">
        <f>C46</f>
        <v>20803772.51962788</v>
      </c>
      <c r="D69" s="12" t="s">
        <v>92</v>
      </c>
    </row>
    <row r="71" spans="2:8">
      <c r="B71" t="s">
        <v>442</v>
      </c>
      <c r="C71" s="191">
        <f>C69/Dashboard!C17</f>
        <v>12731.806927556841</v>
      </c>
      <c r="D71" s="12" t="s">
        <v>92</v>
      </c>
      <c r="E71" s="8" t="s">
        <v>443</v>
      </c>
      <c r="F71" s="102"/>
      <c r="G71" s="102"/>
      <c r="H71" s="103"/>
    </row>
    <row r="72" spans="2:8">
      <c r="C72" s="99"/>
      <c r="D72" s="12"/>
    </row>
    <row r="73" spans="2:8">
      <c r="B73" t="s">
        <v>444</v>
      </c>
      <c r="C73" s="191">
        <f>C69/Dashboard!C23</f>
        <v>2533.338105166571</v>
      </c>
      <c r="D73" s="12" t="s">
        <v>92</v>
      </c>
      <c r="E73" s="8" t="s">
        <v>445</v>
      </c>
      <c r="F73" s="102"/>
      <c r="G73" s="102"/>
      <c r="H73" s="103"/>
    </row>
    <row r="74" spans="2:8">
      <c r="C74" s="99"/>
      <c r="D74" s="12"/>
    </row>
    <row r="75" spans="2:8">
      <c r="B75" t="s">
        <v>453</v>
      </c>
      <c r="C75" s="190">
        <f>C69/Dashboard!C15</f>
        <v>92873.984462624459</v>
      </c>
      <c r="D75" s="12" t="s">
        <v>92</v>
      </c>
      <c r="E75" s="204" t="s">
        <v>447</v>
      </c>
      <c r="F75" s="204"/>
      <c r="G75" s="102"/>
      <c r="H75" s="103"/>
    </row>
    <row r="76" spans="2:8">
      <c r="C76" s="99"/>
      <c r="D76" s="12"/>
    </row>
    <row r="77" spans="2:8">
      <c r="B77" t="s">
        <v>448</v>
      </c>
      <c r="C77" s="190">
        <f>C69/Dashboard!C19</f>
        <v>14548.092671068447</v>
      </c>
      <c r="D77" s="12" t="s">
        <v>92</v>
      </c>
    </row>
    <row r="78" spans="2:8">
      <c r="C78" s="99"/>
      <c r="D78" s="12"/>
    </row>
    <row r="79" spans="2:8">
      <c r="B79" t="s">
        <v>449</v>
      </c>
      <c r="C79" s="190">
        <f>C69/Dashboard!C38</f>
        <v>1155765.1399793266</v>
      </c>
      <c r="D79" s="12" t="s">
        <v>92</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AF6D7-4EE6-497B-9C23-2BD938BCA0ED}">
  <sheetPr>
    <tabColor theme="6" tint="0.39997558519241921"/>
  </sheetPr>
  <dimension ref="A1:AT41"/>
  <sheetViews>
    <sheetView showGridLines="0" topLeftCell="AD24" zoomScale="70" zoomScaleNormal="70" workbookViewId="0">
      <selection activeCell="B24" sqref="B24:AR25"/>
    </sheetView>
  </sheetViews>
  <sheetFormatPr defaultColWidth="0" defaultRowHeight="14.25"/>
  <cols>
    <col min="1" max="1" width="8.625" customWidth="1"/>
    <col min="2" max="2" width="17.125" customWidth="1"/>
    <col min="3" max="3" width="23.125" bestFit="1" customWidth="1"/>
    <col min="4" max="4" width="10.625" customWidth="1"/>
    <col min="5" max="44" width="14.125" customWidth="1"/>
    <col min="45" max="46" width="8.625" customWidth="1"/>
    <col min="47" max="16384" width="8.625" hidden="1"/>
  </cols>
  <sheetData>
    <row r="1" spans="1:44" ht="45" customHeight="1">
      <c r="A1" s="1"/>
    </row>
    <row r="2" spans="1:44" ht="18">
      <c r="B2" s="3" t="s">
        <v>454</v>
      </c>
    </row>
    <row r="4" spans="1:44" ht="18">
      <c r="B4" s="126"/>
      <c r="C4" s="127"/>
      <c r="D4" s="127"/>
      <c r="E4" s="127"/>
      <c r="F4" s="127"/>
      <c r="G4" s="127"/>
      <c r="H4" s="127"/>
      <c r="I4" s="127"/>
      <c r="J4" s="127"/>
      <c r="K4" s="127"/>
      <c r="L4" s="127"/>
      <c r="M4" s="127"/>
      <c r="N4" s="127"/>
      <c r="O4" s="127"/>
      <c r="P4" s="127"/>
    </row>
    <row r="6" spans="1:44" ht="15">
      <c r="B6" s="2"/>
      <c r="C6" s="2"/>
      <c r="D6" s="26"/>
      <c r="E6" s="1"/>
    </row>
    <row r="7" spans="1:44">
      <c r="B7" s="4"/>
      <c r="D7" s="26" t="s">
        <v>455</v>
      </c>
      <c r="E7" s="95">
        <f>Assumptions!H6</f>
        <v>2023</v>
      </c>
      <c r="F7" s="95">
        <f>Assumptions!I6</f>
        <v>2024</v>
      </c>
      <c r="G7" s="95">
        <f>Assumptions!J6</f>
        <v>2025</v>
      </c>
      <c r="H7" s="95">
        <f>Assumptions!K6</f>
        <v>2026</v>
      </c>
      <c r="I7" s="95">
        <f>Assumptions!L6</f>
        <v>2027</v>
      </c>
      <c r="J7" s="95">
        <f>Assumptions!M6</f>
        <v>2028</v>
      </c>
      <c r="K7" s="95">
        <f>Assumptions!N6</f>
        <v>2029</v>
      </c>
      <c r="L7" s="95">
        <f>Assumptions!O6</f>
        <v>2030</v>
      </c>
      <c r="M7" s="95">
        <f>Assumptions!P6</f>
        <v>2031</v>
      </c>
      <c r="N7" s="95">
        <f>Assumptions!Q6</f>
        <v>2032</v>
      </c>
      <c r="O7" s="95">
        <f>Assumptions!R6</f>
        <v>2033</v>
      </c>
      <c r="P7" s="95">
        <f>Assumptions!S6</f>
        <v>2034</v>
      </c>
      <c r="Q7" s="95">
        <f>Assumptions!T6</f>
        <v>2035</v>
      </c>
      <c r="R7" s="95">
        <f>Assumptions!U6</f>
        <v>2036</v>
      </c>
      <c r="S7" s="95">
        <f>Assumptions!V6</f>
        <v>2037</v>
      </c>
      <c r="T7" s="95">
        <f>Assumptions!W6</f>
        <v>2038</v>
      </c>
      <c r="U7" s="95">
        <f>Assumptions!X6</f>
        <v>2039</v>
      </c>
      <c r="V7" s="95">
        <f>Assumptions!Y6</f>
        <v>2040</v>
      </c>
      <c r="W7" s="95">
        <f>Assumptions!Z6</f>
        <v>2041</v>
      </c>
      <c r="X7" s="95">
        <f>Assumptions!AA6</f>
        <v>2042</v>
      </c>
      <c r="Y7" s="95">
        <f>Assumptions!AB6</f>
        <v>2043</v>
      </c>
      <c r="Z7" s="95">
        <f>Assumptions!AC6</f>
        <v>2044</v>
      </c>
      <c r="AA7" s="95">
        <f>Assumptions!AD6</f>
        <v>2045</v>
      </c>
      <c r="AB7" s="95">
        <f>Assumptions!AE6</f>
        <v>2046</v>
      </c>
      <c r="AC7" s="95">
        <f>Assumptions!AF6</f>
        <v>2047</v>
      </c>
      <c r="AD7" s="95">
        <f>Assumptions!AG6</f>
        <v>2048</v>
      </c>
      <c r="AE7" s="95">
        <f>Assumptions!AH6</f>
        <v>2049</v>
      </c>
      <c r="AF7" s="95">
        <f>Assumptions!AI6</f>
        <v>2050</v>
      </c>
      <c r="AG7" s="95">
        <f>Assumptions!AJ6</f>
        <v>2051</v>
      </c>
      <c r="AH7" s="95">
        <f>Assumptions!AK6</f>
        <v>2052</v>
      </c>
      <c r="AI7" s="95">
        <f>Assumptions!AL6</f>
        <v>2053</v>
      </c>
      <c r="AJ7" s="95">
        <f>Assumptions!AM6</f>
        <v>2054</v>
      </c>
      <c r="AK7" s="95">
        <f>Assumptions!AN6</f>
        <v>2055</v>
      </c>
      <c r="AL7" s="95">
        <f>Assumptions!AO6</f>
        <v>2056</v>
      </c>
      <c r="AM7" s="95">
        <f>Assumptions!AP6</f>
        <v>2057</v>
      </c>
      <c r="AN7" s="95">
        <f>Assumptions!AQ6</f>
        <v>2058</v>
      </c>
      <c r="AO7" s="95">
        <f>Assumptions!AR6</f>
        <v>2059</v>
      </c>
      <c r="AP7" s="95">
        <f>Assumptions!AS6</f>
        <v>2060</v>
      </c>
      <c r="AQ7" s="95">
        <f>Assumptions!AT6</f>
        <v>2061</v>
      </c>
      <c r="AR7" s="95">
        <f>Assumptions!AU6</f>
        <v>2062</v>
      </c>
    </row>
    <row r="8" spans="1:44">
      <c r="B8" s="4"/>
      <c r="D8" s="26" t="s">
        <v>367</v>
      </c>
      <c r="E8" s="95">
        <f>Assumptions!H7</f>
        <v>1</v>
      </c>
      <c r="F8" s="95">
        <f>Assumptions!I7</f>
        <v>2</v>
      </c>
      <c r="G8" s="95">
        <f>Assumptions!J7</f>
        <v>3</v>
      </c>
      <c r="H8" s="95">
        <f>Assumptions!K7</f>
        <v>4</v>
      </c>
      <c r="I8" s="95">
        <f>Assumptions!L7</f>
        <v>5</v>
      </c>
      <c r="J8" s="95">
        <f>Assumptions!M7</f>
        <v>6</v>
      </c>
      <c r="K8" s="95">
        <f>Assumptions!N7</f>
        <v>7</v>
      </c>
      <c r="L8" s="95">
        <f>Assumptions!O7</f>
        <v>8</v>
      </c>
      <c r="M8" s="95">
        <f>Assumptions!P7</f>
        <v>9</v>
      </c>
      <c r="N8" s="95">
        <f>Assumptions!Q7</f>
        <v>10</v>
      </c>
      <c r="O8" s="95">
        <f>Assumptions!R7</f>
        <v>11</v>
      </c>
      <c r="P8" s="95">
        <f>Assumptions!S7</f>
        <v>12</v>
      </c>
      <c r="Q8" s="95">
        <f>Assumptions!T7</f>
        <v>13</v>
      </c>
      <c r="R8" s="95">
        <f>Assumptions!U7</f>
        <v>14</v>
      </c>
      <c r="S8" s="95">
        <f>Assumptions!V7</f>
        <v>15</v>
      </c>
      <c r="T8" s="95">
        <f>Assumptions!W7</f>
        <v>16</v>
      </c>
      <c r="U8" s="95">
        <f>Assumptions!X7</f>
        <v>17</v>
      </c>
      <c r="V8" s="95">
        <f>Assumptions!Y7</f>
        <v>18</v>
      </c>
      <c r="W8" s="95">
        <f>Assumptions!Z7</f>
        <v>19</v>
      </c>
      <c r="X8" s="95">
        <f>Assumptions!AA7</f>
        <v>20</v>
      </c>
      <c r="Y8" s="95">
        <f>Assumptions!AB7</f>
        <v>21</v>
      </c>
      <c r="Z8" s="95">
        <f>Assumptions!AC7</f>
        <v>22</v>
      </c>
      <c r="AA8" s="95">
        <f>Assumptions!AD7</f>
        <v>23</v>
      </c>
      <c r="AB8" s="95">
        <f>Assumptions!AE7</f>
        <v>24</v>
      </c>
      <c r="AC8" s="95">
        <f>Assumptions!AF7</f>
        <v>25</v>
      </c>
      <c r="AD8" s="95">
        <f>Assumptions!AG7</f>
        <v>26</v>
      </c>
      <c r="AE8" s="95">
        <f>Assumptions!AH7</f>
        <v>27</v>
      </c>
      <c r="AF8" s="95">
        <f>Assumptions!AI7</f>
        <v>28</v>
      </c>
      <c r="AG8" s="95">
        <f>Assumptions!AJ7</f>
        <v>29</v>
      </c>
      <c r="AH8" s="95">
        <f>Assumptions!AK7</f>
        <v>30</v>
      </c>
      <c r="AI8" s="95">
        <f>Assumptions!AL7</f>
        <v>31</v>
      </c>
      <c r="AJ8" s="95">
        <f>Assumptions!AM7</f>
        <v>32</v>
      </c>
      <c r="AK8" s="95">
        <f>Assumptions!AN7</f>
        <v>33</v>
      </c>
      <c r="AL8" s="95">
        <f>Assumptions!AO7</f>
        <v>34</v>
      </c>
      <c r="AM8" s="95">
        <f>Assumptions!AP7</f>
        <v>35</v>
      </c>
      <c r="AN8" s="95">
        <f>Assumptions!AQ7</f>
        <v>36</v>
      </c>
      <c r="AO8" s="95">
        <f>Assumptions!AR7</f>
        <v>37</v>
      </c>
      <c r="AP8" s="95">
        <f>Assumptions!AS7</f>
        <v>38</v>
      </c>
      <c r="AQ8" s="95">
        <f>Assumptions!AT7</f>
        <v>39</v>
      </c>
      <c r="AR8" s="95">
        <f>Assumptions!AU7</f>
        <v>40</v>
      </c>
    </row>
    <row r="9" spans="1:44">
      <c r="B9" s="4"/>
    </row>
    <row r="10" spans="1:44">
      <c r="B10" s="4"/>
    </row>
    <row r="11" spans="1:44">
      <c r="B11" s="4"/>
    </row>
    <row r="12" spans="1:44">
      <c r="B12" t="s">
        <v>456</v>
      </c>
    </row>
    <row r="13" spans="1:44">
      <c r="D13" s="26" t="s">
        <v>457</v>
      </c>
      <c r="E13" s="164">
        <f>Timeline!J11</f>
        <v>1</v>
      </c>
      <c r="F13" s="164">
        <f>Timeline!K11</f>
        <v>1</v>
      </c>
      <c r="G13" s="164">
        <f>Timeline!L11</f>
        <v>1</v>
      </c>
      <c r="H13" s="164">
        <f>Timeline!M11</f>
        <v>0</v>
      </c>
      <c r="I13" s="164">
        <f>Timeline!N11</f>
        <v>0</v>
      </c>
      <c r="J13" s="164">
        <f>Timeline!O11</f>
        <v>0</v>
      </c>
      <c r="K13" s="164">
        <f>Timeline!P11</f>
        <v>0</v>
      </c>
      <c r="L13" s="164">
        <f>Timeline!Q11</f>
        <v>0</v>
      </c>
      <c r="M13" s="164">
        <f>Timeline!R11</f>
        <v>0</v>
      </c>
      <c r="N13" s="164">
        <f>Timeline!S11</f>
        <v>0</v>
      </c>
      <c r="O13" s="164">
        <f>Timeline!T11</f>
        <v>0</v>
      </c>
      <c r="P13" s="164">
        <f>Timeline!U11</f>
        <v>0</v>
      </c>
      <c r="Q13" s="164">
        <f>Timeline!V11</f>
        <v>0</v>
      </c>
      <c r="R13" s="164">
        <f>Timeline!W11</f>
        <v>0</v>
      </c>
      <c r="S13" s="164">
        <f>Timeline!X11</f>
        <v>0</v>
      </c>
      <c r="T13" s="164">
        <f>Timeline!Y11</f>
        <v>0</v>
      </c>
      <c r="U13" s="164">
        <f>Timeline!Z11</f>
        <v>0</v>
      </c>
      <c r="V13" s="164">
        <f>Timeline!AA11</f>
        <v>0</v>
      </c>
      <c r="W13" s="164">
        <f>Timeline!AB11</f>
        <v>0</v>
      </c>
      <c r="X13" s="164">
        <f>Timeline!AC11</f>
        <v>0</v>
      </c>
      <c r="Y13" s="164">
        <f>Timeline!AD11</f>
        <v>0</v>
      </c>
      <c r="Z13" s="164">
        <f>Timeline!AE11</f>
        <v>0</v>
      </c>
      <c r="AA13" s="164">
        <f>Timeline!AF11</f>
        <v>0</v>
      </c>
      <c r="AB13" s="164">
        <f>Timeline!AG11</f>
        <v>0</v>
      </c>
      <c r="AC13" s="164">
        <f>Timeline!AH11</f>
        <v>0</v>
      </c>
      <c r="AD13" s="164">
        <f>Timeline!AI11</f>
        <v>0</v>
      </c>
      <c r="AE13" s="164">
        <f>Timeline!AJ11</f>
        <v>0</v>
      </c>
      <c r="AF13" s="164">
        <f>Timeline!AK11</f>
        <v>0</v>
      </c>
      <c r="AG13" s="164">
        <f>Timeline!AL11</f>
        <v>0</v>
      </c>
      <c r="AH13" s="164">
        <f>Timeline!AM11</f>
        <v>0</v>
      </c>
      <c r="AI13" s="164">
        <f>Timeline!AN11</f>
        <v>0</v>
      </c>
      <c r="AJ13" s="164">
        <f>Timeline!AO11</f>
        <v>0</v>
      </c>
      <c r="AK13" s="164">
        <f>Timeline!AP11</f>
        <v>0</v>
      </c>
      <c r="AL13" s="164">
        <f>Timeline!AQ11</f>
        <v>0</v>
      </c>
      <c r="AM13" s="164">
        <f>Timeline!AR11</f>
        <v>0</v>
      </c>
      <c r="AN13" s="164">
        <f>Timeline!AS11</f>
        <v>0</v>
      </c>
      <c r="AO13" s="164">
        <f>Timeline!AT11</f>
        <v>0</v>
      </c>
      <c r="AP13" s="164">
        <f>Timeline!AU11</f>
        <v>0</v>
      </c>
      <c r="AQ13" s="164">
        <f>Timeline!AV11</f>
        <v>0</v>
      </c>
      <c r="AR13" s="164">
        <f>Timeline!AW11</f>
        <v>0</v>
      </c>
    </row>
    <row r="14" spans="1:44">
      <c r="D14" s="115" t="s">
        <v>121</v>
      </c>
      <c r="E14" s="164">
        <f>Timeline!J17</f>
        <v>1</v>
      </c>
      <c r="F14" s="164">
        <f>Timeline!K17</f>
        <v>1</v>
      </c>
      <c r="G14" s="164">
        <f>Timeline!L17</f>
        <v>1</v>
      </c>
      <c r="H14" s="164">
        <f>Timeline!M17</f>
        <v>0</v>
      </c>
      <c r="I14" s="164">
        <f>Timeline!N17</f>
        <v>0</v>
      </c>
      <c r="J14" s="164">
        <f>Timeline!O17</f>
        <v>0</v>
      </c>
      <c r="K14" s="164">
        <f>Timeline!P17</f>
        <v>0</v>
      </c>
      <c r="L14" s="164">
        <f>Timeline!Q17</f>
        <v>0</v>
      </c>
      <c r="M14" s="164">
        <f>Timeline!R17</f>
        <v>0</v>
      </c>
      <c r="N14" s="164">
        <f>Timeline!S17</f>
        <v>0</v>
      </c>
      <c r="O14" s="164">
        <f>Timeline!T17</f>
        <v>0</v>
      </c>
      <c r="P14" s="164">
        <f>Timeline!U17</f>
        <v>0</v>
      </c>
      <c r="Q14" s="164">
        <f>Timeline!V17</f>
        <v>0</v>
      </c>
      <c r="R14" s="164">
        <f>Timeline!W17</f>
        <v>0</v>
      </c>
      <c r="S14" s="164">
        <f>Timeline!X17</f>
        <v>0</v>
      </c>
      <c r="T14" s="164">
        <f>Timeline!Y17</f>
        <v>0</v>
      </c>
      <c r="U14" s="164">
        <f>Timeline!Z17</f>
        <v>0</v>
      </c>
      <c r="V14" s="164">
        <f>Timeline!AA17</f>
        <v>0</v>
      </c>
      <c r="W14" s="164">
        <f>Timeline!AB17</f>
        <v>0</v>
      </c>
      <c r="X14" s="164">
        <f>Timeline!AC17</f>
        <v>0</v>
      </c>
      <c r="Y14" s="164">
        <f>Timeline!AD17</f>
        <v>0</v>
      </c>
      <c r="Z14" s="164">
        <f>Timeline!AE17</f>
        <v>0</v>
      </c>
      <c r="AA14" s="164">
        <f>Timeline!AF17</f>
        <v>0</v>
      </c>
      <c r="AB14" s="164">
        <f>Timeline!AG17</f>
        <v>0</v>
      </c>
      <c r="AC14" s="164">
        <f>Timeline!AH17</f>
        <v>0</v>
      </c>
      <c r="AD14" s="164">
        <f>Timeline!AI17</f>
        <v>0</v>
      </c>
      <c r="AE14" s="164">
        <f>Timeline!AJ17</f>
        <v>0</v>
      </c>
      <c r="AF14" s="164">
        <f>Timeline!AK17</f>
        <v>0</v>
      </c>
      <c r="AG14" s="164">
        <f>Timeline!AL17</f>
        <v>0</v>
      </c>
      <c r="AH14" s="164">
        <f>Timeline!AM17</f>
        <v>0</v>
      </c>
      <c r="AI14" s="164">
        <f>Timeline!AN17</f>
        <v>0</v>
      </c>
      <c r="AJ14" s="164">
        <f>Timeline!AO17</f>
        <v>0</v>
      </c>
      <c r="AK14" s="164">
        <f>Timeline!AP17</f>
        <v>0</v>
      </c>
      <c r="AL14" s="164">
        <f>Timeline!AQ17</f>
        <v>0</v>
      </c>
      <c r="AM14" s="164">
        <f>Timeline!AR17</f>
        <v>0</v>
      </c>
      <c r="AN14" s="164">
        <f>Timeline!AS17</f>
        <v>0</v>
      </c>
      <c r="AO14" s="164">
        <f>Timeline!AT17</f>
        <v>0</v>
      </c>
      <c r="AP14" s="164">
        <f>Timeline!AU17</f>
        <v>0</v>
      </c>
      <c r="AQ14" s="164">
        <f>Timeline!AV17</f>
        <v>0</v>
      </c>
      <c r="AR14" s="164">
        <f>Timeline!AW17</f>
        <v>0</v>
      </c>
    </row>
    <row r="15" spans="1:44">
      <c r="D15" s="115" t="s">
        <v>143</v>
      </c>
      <c r="E15" s="164">
        <f>Timeline!J23</f>
        <v>0</v>
      </c>
      <c r="F15" s="164">
        <f>Timeline!K23</f>
        <v>0</v>
      </c>
      <c r="G15" s="164">
        <f>Timeline!L23</f>
        <v>1</v>
      </c>
      <c r="H15" s="164">
        <f>Timeline!M23</f>
        <v>1</v>
      </c>
      <c r="I15" s="164">
        <f>Timeline!N23</f>
        <v>1</v>
      </c>
      <c r="J15" s="164">
        <f>Timeline!O23</f>
        <v>1</v>
      </c>
      <c r="K15" s="164">
        <f>Timeline!P23</f>
        <v>1</v>
      </c>
      <c r="L15" s="164">
        <f>Timeline!Q23</f>
        <v>1</v>
      </c>
      <c r="M15" s="164">
        <f>Timeline!R23</f>
        <v>1</v>
      </c>
      <c r="N15" s="164">
        <f>Timeline!S23</f>
        <v>1</v>
      </c>
      <c r="O15" s="164">
        <f>Timeline!T23</f>
        <v>1</v>
      </c>
      <c r="P15" s="164">
        <f>Timeline!U23</f>
        <v>1</v>
      </c>
      <c r="Q15" s="164">
        <f>Timeline!V23</f>
        <v>1</v>
      </c>
      <c r="R15" s="164">
        <f>Timeline!W23</f>
        <v>1</v>
      </c>
      <c r="S15" s="164">
        <f>Timeline!X23</f>
        <v>1</v>
      </c>
      <c r="T15" s="164">
        <f>Timeline!Y23</f>
        <v>1</v>
      </c>
      <c r="U15" s="164">
        <f>Timeline!Z23</f>
        <v>1</v>
      </c>
      <c r="V15" s="164">
        <f>Timeline!AA23</f>
        <v>1</v>
      </c>
      <c r="W15" s="164">
        <f>Timeline!AB23</f>
        <v>1</v>
      </c>
      <c r="X15" s="164">
        <f>Timeline!AC23</f>
        <v>1</v>
      </c>
      <c r="Y15" s="164">
        <f>Timeline!AD23</f>
        <v>1</v>
      </c>
      <c r="Z15" s="164">
        <f>Timeline!AE23</f>
        <v>1</v>
      </c>
      <c r="AA15" s="164">
        <f>Timeline!AF23</f>
        <v>1</v>
      </c>
      <c r="AB15" s="164">
        <f>Timeline!AG23</f>
        <v>1</v>
      </c>
      <c r="AC15" s="164">
        <f>Timeline!AH23</f>
        <v>1</v>
      </c>
      <c r="AD15" s="164">
        <f>Timeline!AI23</f>
        <v>1</v>
      </c>
      <c r="AE15" s="164">
        <f>Timeline!AJ23</f>
        <v>1</v>
      </c>
      <c r="AF15" s="164">
        <f>Timeline!AK23</f>
        <v>1</v>
      </c>
      <c r="AG15" s="164">
        <f>Timeline!AL23</f>
        <v>1</v>
      </c>
      <c r="AH15" s="164">
        <f>Timeline!AM23</f>
        <v>1</v>
      </c>
      <c r="AI15" s="164">
        <f>Timeline!AN23</f>
        <v>1</v>
      </c>
      <c r="AJ15" s="164">
        <f>Timeline!AO23</f>
        <v>1</v>
      </c>
      <c r="AK15" s="164">
        <f>Timeline!AP23</f>
        <v>1</v>
      </c>
      <c r="AL15" s="164">
        <f>Timeline!AQ23</f>
        <v>1</v>
      </c>
      <c r="AM15" s="164">
        <f>Timeline!AR23</f>
        <v>1</v>
      </c>
      <c r="AN15" s="164">
        <f>Timeline!AS23</f>
        <v>1</v>
      </c>
      <c r="AO15" s="164">
        <f>Timeline!AT23</f>
        <v>1</v>
      </c>
      <c r="AP15" s="164">
        <f>Timeline!AU23</f>
        <v>1</v>
      </c>
      <c r="AQ15" s="164">
        <f>Timeline!AV23</f>
        <v>1</v>
      </c>
      <c r="AR15" s="164">
        <f>Timeline!AW23</f>
        <v>1</v>
      </c>
    </row>
    <row r="16" spans="1:44">
      <c r="D16" s="115" t="s">
        <v>132</v>
      </c>
      <c r="E16" s="164">
        <f>Timeline!J31</f>
        <v>0</v>
      </c>
      <c r="F16" s="164">
        <f>Timeline!K31</f>
        <v>0</v>
      </c>
      <c r="G16" s="164">
        <f>Timeline!L31</f>
        <v>0</v>
      </c>
      <c r="H16" s="164">
        <f>Timeline!M31</f>
        <v>1</v>
      </c>
      <c r="I16" s="164">
        <f>Timeline!N31</f>
        <v>1</v>
      </c>
      <c r="J16" s="164">
        <f>Timeline!O31</f>
        <v>1</v>
      </c>
      <c r="K16" s="164">
        <f>Timeline!P31</f>
        <v>1</v>
      </c>
      <c r="L16" s="164">
        <f>Timeline!Q31</f>
        <v>1</v>
      </c>
      <c r="M16" s="164">
        <f>Timeline!R31</f>
        <v>1</v>
      </c>
      <c r="N16" s="164">
        <f>Timeline!S31</f>
        <v>1</v>
      </c>
      <c r="O16" s="164">
        <f>Timeline!T31</f>
        <v>1</v>
      </c>
      <c r="P16" s="164">
        <f>Timeline!U31</f>
        <v>1</v>
      </c>
      <c r="Q16" s="164">
        <f>Timeline!V31</f>
        <v>1</v>
      </c>
      <c r="R16" s="164">
        <f>Timeline!W31</f>
        <v>1</v>
      </c>
      <c r="S16" s="164">
        <f>Timeline!X31</f>
        <v>1</v>
      </c>
      <c r="T16" s="164">
        <f>Timeline!Y31</f>
        <v>1</v>
      </c>
      <c r="U16" s="164">
        <f>Timeline!Z31</f>
        <v>1</v>
      </c>
      <c r="V16" s="164">
        <f>Timeline!AA31</f>
        <v>1</v>
      </c>
      <c r="W16" s="164">
        <f>Timeline!AB31</f>
        <v>1</v>
      </c>
      <c r="X16" s="164">
        <f>Timeline!AC31</f>
        <v>1</v>
      </c>
      <c r="Y16" s="164">
        <f>Timeline!AD31</f>
        <v>1</v>
      </c>
      <c r="Z16" s="164">
        <f>Timeline!AE31</f>
        <v>1</v>
      </c>
      <c r="AA16" s="164">
        <f>Timeline!AF31</f>
        <v>1</v>
      </c>
      <c r="AB16" s="164">
        <f>Timeline!AG31</f>
        <v>1</v>
      </c>
      <c r="AC16" s="164">
        <f>Timeline!AH31</f>
        <v>1</v>
      </c>
      <c r="AD16" s="164">
        <f>Timeline!AI31</f>
        <v>1</v>
      </c>
      <c r="AE16" s="164">
        <f>Timeline!AJ31</f>
        <v>1</v>
      </c>
      <c r="AF16" s="164">
        <f>Timeline!AK31</f>
        <v>1</v>
      </c>
      <c r="AG16" s="164">
        <f>Timeline!AL31</f>
        <v>1</v>
      </c>
      <c r="AH16" s="164">
        <f>Timeline!AM31</f>
        <v>1</v>
      </c>
      <c r="AI16" s="164">
        <f>Timeline!AN31</f>
        <v>1</v>
      </c>
      <c r="AJ16" s="164">
        <f>Timeline!AO31</f>
        <v>1</v>
      </c>
      <c r="AK16" s="164">
        <f>Timeline!AP31</f>
        <v>1</v>
      </c>
      <c r="AL16" s="164">
        <f>Timeline!AQ31</f>
        <v>1</v>
      </c>
      <c r="AM16" s="164">
        <f>Timeline!AR31</f>
        <v>1</v>
      </c>
      <c r="AN16" s="164">
        <f>Timeline!AS31</f>
        <v>1</v>
      </c>
      <c r="AO16" s="164">
        <f>Timeline!AT31</f>
        <v>1</v>
      </c>
      <c r="AP16" s="164">
        <f>Timeline!AU31</f>
        <v>1</v>
      </c>
      <c r="AQ16" s="164">
        <f>Timeline!AV31</f>
        <v>1</v>
      </c>
      <c r="AR16" s="164">
        <f>Timeline!AW31</f>
        <v>1</v>
      </c>
    </row>
    <row r="17" spans="2:44">
      <c r="B17" s="4"/>
    </row>
    <row r="18" spans="2:44">
      <c r="B18" t="s">
        <v>458</v>
      </c>
      <c r="C18" s="4" t="s">
        <v>395</v>
      </c>
      <c r="D18" s="26"/>
      <c r="E18" s="197">
        <f>IF(E$13&gt;0,'Improvement timeline'!M150,0)</f>
        <v>589733.80323244061</v>
      </c>
      <c r="F18" s="197">
        <f>IF(F$13&gt;0,'Improvement timeline'!N150,0)</f>
        <v>1126204.5875509304</v>
      </c>
      <c r="G18" s="197">
        <f>IF(G$13&gt;0,'Improvement timeline'!O150,0)</f>
        <v>1039388.9622331907</v>
      </c>
      <c r="H18" s="197">
        <f>IF(H$13&gt;0,'Improvement timeline'!P150,0)</f>
        <v>0</v>
      </c>
      <c r="I18" s="197">
        <f>IF(I$13&gt;0,'Improvement timeline'!Q150,0)</f>
        <v>0</v>
      </c>
      <c r="J18" s="197">
        <f>IF(J$13&gt;0,'Improvement timeline'!R150,0)</f>
        <v>0</v>
      </c>
      <c r="K18" s="197">
        <f>IF(K$13&gt;0,'Improvement timeline'!S150,0)</f>
        <v>0</v>
      </c>
      <c r="L18" s="197">
        <f>IF(L$13&gt;0,'Improvement timeline'!T150,0)</f>
        <v>0</v>
      </c>
      <c r="M18" s="197">
        <f>IF(M$13&gt;0,'Improvement timeline'!U150,0)</f>
        <v>0</v>
      </c>
      <c r="N18" s="197">
        <f>IF(N$13&gt;0,'Improvement timeline'!V150,0)</f>
        <v>0</v>
      </c>
      <c r="O18" s="197">
        <f>IF(O$13&gt;0,'Improvement timeline'!W150,0)</f>
        <v>0</v>
      </c>
      <c r="P18" s="197">
        <f>IF(P$13&gt;0,'Improvement timeline'!X150,0)</f>
        <v>0</v>
      </c>
      <c r="Q18" s="197">
        <f>IF(Q$13&gt;0,'Improvement timeline'!Y150,0)</f>
        <v>0</v>
      </c>
      <c r="R18" s="197">
        <f>IF(R$13&gt;0,'Improvement timeline'!Z150,0)</f>
        <v>0</v>
      </c>
      <c r="S18" s="197">
        <f>IF(S$13&gt;0,'Improvement timeline'!AA150,0)</f>
        <v>0</v>
      </c>
      <c r="T18" s="197">
        <f>IF(T$13&gt;0,'Improvement timeline'!AB150,0)</f>
        <v>0</v>
      </c>
      <c r="U18" s="197">
        <f>IF(U$13&gt;0,'Improvement timeline'!AC150,0)</f>
        <v>0</v>
      </c>
      <c r="V18" s="197">
        <f>IF(V$13&gt;0,'Improvement timeline'!AD150,0)</f>
        <v>0</v>
      </c>
      <c r="W18" s="197">
        <f>IF(W$13&gt;0,'Improvement timeline'!AE150,0)</f>
        <v>0</v>
      </c>
      <c r="X18" s="197">
        <f>IF(X$13&gt;0,'Improvement timeline'!AF150,0)</f>
        <v>0</v>
      </c>
      <c r="Y18" s="197">
        <f>IF(Y$13&gt;0,'Improvement timeline'!AG150,0)</f>
        <v>0</v>
      </c>
      <c r="Z18" s="197">
        <f>IF(Z$13&gt;0,'Improvement timeline'!AH150,0)</f>
        <v>0</v>
      </c>
      <c r="AA18" s="197">
        <f>IF(AA$13&gt;0,'Improvement timeline'!AI150,0)</f>
        <v>0</v>
      </c>
      <c r="AB18" s="197">
        <f>IF(AB$13&gt;0,'Improvement timeline'!AJ150,0)</f>
        <v>0</v>
      </c>
      <c r="AC18" s="197">
        <f>IF(AC$13&gt;0,'Improvement timeline'!AK150,0)</f>
        <v>0</v>
      </c>
      <c r="AD18" s="197">
        <f>IF(AD$13&gt;0,'Improvement timeline'!AL150,0)</f>
        <v>0</v>
      </c>
      <c r="AE18" s="197">
        <f>IF(AE$13&gt;0,'Improvement timeline'!AM150,0)</f>
        <v>0</v>
      </c>
      <c r="AF18" s="197">
        <f>IF(AF$13&gt;0,'Improvement timeline'!AN150,0)</f>
        <v>0</v>
      </c>
      <c r="AG18" s="197">
        <f>IF(AG$13&gt;0,'Improvement timeline'!AO150,0)</f>
        <v>0</v>
      </c>
      <c r="AH18" s="197">
        <f>IF(AH$13&gt;0,'Improvement timeline'!AP150,0)</f>
        <v>0</v>
      </c>
      <c r="AI18" s="197">
        <f>IF(AI$13&gt;0,'Improvement timeline'!AQ150,0)</f>
        <v>0</v>
      </c>
      <c r="AJ18" s="197">
        <f>IF(AJ$13&gt;0,'Improvement timeline'!AR150,0)</f>
        <v>0</v>
      </c>
      <c r="AK18" s="197">
        <f>IF(AK$13&gt;0,'Improvement timeline'!AS150,0)</f>
        <v>0</v>
      </c>
      <c r="AL18" s="197">
        <f>IF(AL$13&gt;0,'Improvement timeline'!AT150,0)</f>
        <v>0</v>
      </c>
      <c r="AM18" s="197">
        <f>IF(AM$13&gt;0,'Improvement timeline'!AU150,0)</f>
        <v>0</v>
      </c>
      <c r="AN18" s="197">
        <f>IF(AN$13&gt;0,'Improvement timeline'!AV150,0)</f>
        <v>0</v>
      </c>
      <c r="AO18" s="197">
        <f>IF(AO$13&gt;0,'Improvement timeline'!AW150,0)</f>
        <v>0</v>
      </c>
      <c r="AP18" s="197">
        <f>IF(AP$13&gt;0,'Improvement timeline'!AX150,0)</f>
        <v>0</v>
      </c>
      <c r="AQ18" s="197">
        <f>IF(AQ$13&gt;0,'Improvement timeline'!AY150,0)</f>
        <v>0</v>
      </c>
      <c r="AR18" s="197">
        <f>IF(AR$13&gt;0,'Improvement timeline'!AZ150,0)</f>
        <v>0</v>
      </c>
    </row>
    <row r="19" spans="2:44">
      <c r="B19" t="s">
        <v>459</v>
      </c>
      <c r="C19" s="4" t="s">
        <v>397</v>
      </c>
      <c r="D19" s="26"/>
      <c r="E19" s="197">
        <f>IF(E$14&gt;0,'Improvement timeline'!M151,0)</f>
        <v>10000</v>
      </c>
      <c r="F19" s="197">
        <f>IF(F$14&gt;0,'Improvement timeline'!N151,0)</f>
        <v>109967.5</v>
      </c>
      <c r="G19" s="197">
        <f>IF(G$14&gt;0,'Improvement timeline'!O151,0)</f>
        <v>12981456.303338801</v>
      </c>
      <c r="H19" s="197">
        <f>IF(H$14&gt;0,'Improvement timeline'!P151,0)</f>
        <v>0</v>
      </c>
      <c r="I19" s="197">
        <f>IF(I$14&gt;0,'Improvement timeline'!Q151,0)</f>
        <v>0</v>
      </c>
      <c r="J19" s="197">
        <f>IF(J$14&gt;0,'Improvement timeline'!R151,0)</f>
        <v>0</v>
      </c>
      <c r="K19" s="197">
        <f>IF(K$14&gt;0,'Improvement timeline'!S151,0)</f>
        <v>0</v>
      </c>
      <c r="L19" s="197">
        <f>IF(L$14&gt;0,'Improvement timeline'!T151,0)</f>
        <v>0</v>
      </c>
      <c r="M19" s="197">
        <f>IF(M$14&gt;0,'Improvement timeline'!U151,0)</f>
        <v>0</v>
      </c>
      <c r="N19" s="197">
        <f>IF(N$14&gt;0,'Improvement timeline'!V151,0)</f>
        <v>0</v>
      </c>
      <c r="O19" s="197">
        <f>IF(O$14&gt;0,'Improvement timeline'!W151,0)</f>
        <v>0</v>
      </c>
      <c r="P19" s="197">
        <f>IF(P$14&gt;0,'Improvement timeline'!X151,0)</f>
        <v>0</v>
      </c>
      <c r="Q19" s="197">
        <f>IF(Q$14&gt;0,'Improvement timeline'!Y151,0)</f>
        <v>0</v>
      </c>
      <c r="R19" s="197">
        <f>IF(R$14&gt;0,'Improvement timeline'!Z151,0)</f>
        <v>0</v>
      </c>
      <c r="S19" s="197">
        <f>IF(S$14&gt;0,'Improvement timeline'!AA151,0)</f>
        <v>0</v>
      </c>
      <c r="T19" s="197">
        <f>IF(T$14&gt;0,'Improvement timeline'!AB151,0)</f>
        <v>0</v>
      </c>
      <c r="U19" s="197">
        <f>IF(U$14&gt;0,'Improvement timeline'!AC151,0)</f>
        <v>0</v>
      </c>
      <c r="V19" s="197">
        <f>IF(V$14&gt;0,'Improvement timeline'!AD151,0)</f>
        <v>0</v>
      </c>
      <c r="W19" s="197">
        <f>IF(W$14&gt;0,'Improvement timeline'!AE151,0)</f>
        <v>0</v>
      </c>
      <c r="X19" s="197">
        <f>IF(X$14&gt;0,'Improvement timeline'!AF151,0)</f>
        <v>0</v>
      </c>
      <c r="Y19" s="197">
        <f>IF(Y$14&gt;0,'Improvement timeline'!AG151,0)</f>
        <v>0</v>
      </c>
      <c r="Z19" s="197">
        <f>IF(Z$14&gt;0,'Improvement timeline'!AH151,0)</f>
        <v>0</v>
      </c>
      <c r="AA19" s="197">
        <f>IF(AA$14&gt;0,'Improvement timeline'!AI151,0)</f>
        <v>0</v>
      </c>
      <c r="AB19" s="197">
        <f>IF(AB$14&gt;0,'Improvement timeline'!AJ151,0)</f>
        <v>0</v>
      </c>
      <c r="AC19" s="197">
        <f>IF(AC$14&gt;0,'Improvement timeline'!AK151,0)</f>
        <v>0</v>
      </c>
      <c r="AD19" s="197">
        <f>IF(AD$14&gt;0,'Improvement timeline'!AL151,0)</f>
        <v>0</v>
      </c>
      <c r="AE19" s="197">
        <f>IF(AE$14&gt;0,'Improvement timeline'!AM151,0)</f>
        <v>0</v>
      </c>
      <c r="AF19" s="197">
        <f>IF(AF$14&gt;0,'Improvement timeline'!AN151,0)</f>
        <v>0</v>
      </c>
      <c r="AG19" s="197">
        <f>IF(AG$14&gt;0,'Improvement timeline'!AO151,0)</f>
        <v>0</v>
      </c>
      <c r="AH19" s="197">
        <f>IF(AH$14&gt;0,'Improvement timeline'!AP151,0)</f>
        <v>0</v>
      </c>
      <c r="AI19" s="197">
        <f>IF(AI$14&gt;0,'Improvement timeline'!AQ151,0)</f>
        <v>0</v>
      </c>
      <c r="AJ19" s="197">
        <f>IF(AJ$14&gt;0,'Improvement timeline'!AR151,0)</f>
        <v>0</v>
      </c>
      <c r="AK19" s="197">
        <f>IF(AK$14&gt;0,'Improvement timeline'!AS151,0)</f>
        <v>0</v>
      </c>
      <c r="AL19" s="197">
        <f>IF(AL$14&gt;0,'Improvement timeline'!AT151,0)</f>
        <v>0</v>
      </c>
      <c r="AM19" s="197">
        <f>IF(AM$14&gt;0,'Improvement timeline'!AU151,0)</f>
        <v>0</v>
      </c>
      <c r="AN19" s="197">
        <f>IF(AN$14&gt;0,'Improvement timeline'!AV151,0)</f>
        <v>0</v>
      </c>
      <c r="AO19" s="197">
        <f>IF(AO$14&gt;0,'Improvement timeline'!AW151,0)</f>
        <v>0</v>
      </c>
      <c r="AP19" s="197">
        <f>IF(AP$14&gt;0,'Improvement timeline'!AX151,0)</f>
        <v>0</v>
      </c>
      <c r="AQ19" s="197">
        <f>IF(AQ$14&gt;0,'Improvement timeline'!AY151,0)</f>
        <v>0</v>
      </c>
      <c r="AR19" s="197">
        <f>IF(AR$14&gt;0,'Improvement timeline'!AZ151,0)</f>
        <v>0</v>
      </c>
    </row>
    <row r="20" spans="2:44">
      <c r="B20" t="s">
        <v>460</v>
      </c>
      <c r="C20" s="4" t="s">
        <v>398</v>
      </c>
      <c r="D20" s="26"/>
      <c r="E20" s="197">
        <f>IF(E$15&gt;0,'Improvement timeline'!M152,0)</f>
        <v>0</v>
      </c>
      <c r="F20" s="197">
        <f>IF(F$15&gt;0,'Improvement timeline'!N152,0)</f>
        <v>0</v>
      </c>
      <c r="G20" s="197">
        <f>IF(G$15&gt;0,'Improvement timeline'!O152,0)</f>
        <v>217650</v>
      </c>
      <c r="H20" s="197">
        <f>IF(H$15&gt;0,'Improvement timeline'!P152,0)</f>
        <v>225750</v>
      </c>
      <c r="I20" s="197">
        <f>IF(I$15&gt;0,'Improvement timeline'!Q152,0)</f>
        <v>217850</v>
      </c>
      <c r="J20" s="197">
        <f>IF(J$15&gt;0,'Improvement timeline'!R152,0)</f>
        <v>0</v>
      </c>
      <c r="K20" s="197">
        <f>IF(K$15&gt;0,'Improvement timeline'!S152,0)</f>
        <v>0</v>
      </c>
      <c r="L20" s="197">
        <f>IF(L$15&gt;0,'Improvement timeline'!T152,0)</f>
        <v>0</v>
      </c>
      <c r="M20" s="197">
        <f>IF(M$15&gt;0,'Improvement timeline'!U152,0)</f>
        <v>0</v>
      </c>
      <c r="N20" s="197">
        <f>IF(N$15&gt;0,'Improvement timeline'!V152,0)</f>
        <v>0</v>
      </c>
      <c r="O20" s="197">
        <f>IF(O$15&gt;0,'Improvement timeline'!W152,0)</f>
        <v>0</v>
      </c>
      <c r="P20" s="197">
        <f>IF(P$15&gt;0,'Improvement timeline'!X152,0)</f>
        <v>0</v>
      </c>
      <c r="Q20" s="197">
        <f>IF(Q$15&gt;0,'Improvement timeline'!Y152,0)</f>
        <v>0</v>
      </c>
      <c r="R20" s="197">
        <f>IF(R$15&gt;0,'Improvement timeline'!Z152,0)</f>
        <v>0</v>
      </c>
      <c r="S20" s="197">
        <f>IF(S$15&gt;0,'Improvement timeline'!AA152,0)</f>
        <v>0</v>
      </c>
      <c r="T20" s="197">
        <f>IF(T$15&gt;0,'Improvement timeline'!AB152,0)</f>
        <v>0</v>
      </c>
      <c r="U20" s="197">
        <f>IF(U$15&gt;0,'Improvement timeline'!AC152,0)</f>
        <v>0</v>
      </c>
      <c r="V20" s="197">
        <f>IF(V$15&gt;0,'Improvement timeline'!AD152,0)</f>
        <v>0</v>
      </c>
      <c r="W20" s="197">
        <f>IF(W$15&gt;0,'Improvement timeline'!AE152,0)</f>
        <v>0</v>
      </c>
      <c r="X20" s="197">
        <f>IF(X$15&gt;0,'Improvement timeline'!AF152,0)</f>
        <v>0</v>
      </c>
      <c r="Y20" s="197">
        <f>IF(Y$15&gt;0,'Improvement timeline'!AG152,0)</f>
        <v>0</v>
      </c>
      <c r="Z20" s="197">
        <f>IF(Z$15&gt;0,'Improvement timeline'!AH152,0)</f>
        <v>0</v>
      </c>
      <c r="AA20" s="197">
        <f>IF(AA$15&gt;0,'Improvement timeline'!AI152,0)</f>
        <v>0</v>
      </c>
      <c r="AB20" s="197">
        <f>IF(AB$15&gt;0,'Improvement timeline'!AJ152,0)</f>
        <v>0</v>
      </c>
      <c r="AC20" s="197">
        <f>IF(AC$15&gt;0,'Improvement timeline'!AK152,0)</f>
        <v>0</v>
      </c>
      <c r="AD20" s="197">
        <f>IF(AD$15&gt;0,'Improvement timeline'!AL152,0)</f>
        <v>0</v>
      </c>
      <c r="AE20" s="197">
        <f>IF(AE$15&gt;0,'Improvement timeline'!AM152,0)</f>
        <v>0</v>
      </c>
      <c r="AF20" s="197">
        <f>IF(AF$15&gt;0,'Improvement timeline'!AN152,0)</f>
        <v>0</v>
      </c>
      <c r="AG20" s="197">
        <f>IF(AG$15&gt;0,'Improvement timeline'!AO152,0)</f>
        <v>0</v>
      </c>
      <c r="AH20" s="197">
        <f>IF(AH$15&gt;0,'Improvement timeline'!AP152,0)</f>
        <v>0</v>
      </c>
      <c r="AI20" s="197">
        <f>IF(AI$15&gt;0,'Improvement timeline'!AQ152,0)</f>
        <v>0</v>
      </c>
      <c r="AJ20" s="197">
        <f>IF(AJ$15&gt;0,'Improvement timeline'!AR152,0)</f>
        <v>0</v>
      </c>
      <c r="AK20" s="197">
        <f>IF(AK$15&gt;0,'Improvement timeline'!AS152,0)</f>
        <v>0</v>
      </c>
      <c r="AL20" s="197">
        <f>IF(AL$15&gt;0,'Improvement timeline'!AT152,0)</f>
        <v>0</v>
      </c>
      <c r="AM20" s="197">
        <f>IF(AM$15&gt;0,'Improvement timeline'!AU152,0)</f>
        <v>0</v>
      </c>
      <c r="AN20" s="197">
        <f>IF(AN$15&gt;0,'Improvement timeline'!AV152,0)</f>
        <v>0</v>
      </c>
      <c r="AO20" s="197">
        <f>IF(AO$15&gt;0,'Improvement timeline'!AW152,0)</f>
        <v>0</v>
      </c>
      <c r="AP20" s="197">
        <f>IF(AP$15&gt;0,'Improvement timeline'!AX152,0)</f>
        <v>0</v>
      </c>
      <c r="AQ20" s="197">
        <f>IF(AQ$15&gt;0,'Improvement timeline'!AY152,0)</f>
        <v>0</v>
      </c>
      <c r="AR20" s="197">
        <f>IF(AR$15&gt;0,'Improvement timeline'!AZ152,0)</f>
        <v>0</v>
      </c>
    </row>
    <row r="21" spans="2:44">
      <c r="C21" s="4"/>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row>
    <row r="22" spans="2:44" ht="15">
      <c r="D22" s="116" t="s">
        <v>461</v>
      </c>
      <c r="E22" s="99">
        <f t="shared" ref="E22:AR22" si="0">SUM(E18:E20)</f>
        <v>599733.80323244061</v>
      </c>
      <c r="F22" s="99">
        <f t="shared" si="0"/>
        <v>1236172.0875509304</v>
      </c>
      <c r="G22" s="99">
        <f t="shared" si="0"/>
        <v>14238495.265571993</v>
      </c>
      <c r="H22" s="99">
        <f t="shared" si="0"/>
        <v>225750</v>
      </c>
      <c r="I22" s="99">
        <f t="shared" si="0"/>
        <v>217850</v>
      </c>
      <c r="J22" s="99">
        <f t="shared" si="0"/>
        <v>0</v>
      </c>
      <c r="K22" s="99">
        <f t="shared" si="0"/>
        <v>0</v>
      </c>
      <c r="L22" s="99">
        <f t="shared" si="0"/>
        <v>0</v>
      </c>
      <c r="M22" s="99">
        <f t="shared" si="0"/>
        <v>0</v>
      </c>
      <c r="N22" s="99">
        <f t="shared" si="0"/>
        <v>0</v>
      </c>
      <c r="O22" s="99">
        <f t="shared" si="0"/>
        <v>0</v>
      </c>
      <c r="P22" s="99">
        <f t="shared" si="0"/>
        <v>0</v>
      </c>
      <c r="Q22" s="99">
        <f t="shared" si="0"/>
        <v>0</v>
      </c>
      <c r="R22" s="99">
        <f t="shared" si="0"/>
        <v>0</v>
      </c>
      <c r="S22" s="99">
        <f t="shared" si="0"/>
        <v>0</v>
      </c>
      <c r="T22" s="99">
        <f t="shared" si="0"/>
        <v>0</v>
      </c>
      <c r="U22" s="99">
        <f t="shared" si="0"/>
        <v>0</v>
      </c>
      <c r="V22" s="99">
        <f t="shared" si="0"/>
        <v>0</v>
      </c>
      <c r="W22" s="99">
        <f t="shared" si="0"/>
        <v>0</v>
      </c>
      <c r="X22" s="99">
        <f t="shared" si="0"/>
        <v>0</v>
      </c>
      <c r="Y22" s="99">
        <f t="shared" si="0"/>
        <v>0</v>
      </c>
      <c r="Z22" s="99">
        <f t="shared" si="0"/>
        <v>0</v>
      </c>
      <c r="AA22" s="99">
        <f t="shared" si="0"/>
        <v>0</v>
      </c>
      <c r="AB22" s="99">
        <f t="shared" si="0"/>
        <v>0</v>
      </c>
      <c r="AC22" s="99">
        <f t="shared" si="0"/>
        <v>0</v>
      </c>
      <c r="AD22" s="99">
        <f t="shared" si="0"/>
        <v>0</v>
      </c>
      <c r="AE22" s="99">
        <f t="shared" si="0"/>
        <v>0</v>
      </c>
      <c r="AF22" s="99">
        <f t="shared" si="0"/>
        <v>0</v>
      </c>
      <c r="AG22" s="99">
        <f t="shared" si="0"/>
        <v>0</v>
      </c>
      <c r="AH22" s="99">
        <f t="shared" si="0"/>
        <v>0</v>
      </c>
      <c r="AI22" s="99">
        <f t="shared" si="0"/>
        <v>0</v>
      </c>
      <c r="AJ22" s="99">
        <f t="shared" si="0"/>
        <v>0</v>
      </c>
      <c r="AK22" s="99">
        <f t="shared" si="0"/>
        <v>0</v>
      </c>
      <c r="AL22" s="99">
        <f t="shared" si="0"/>
        <v>0</v>
      </c>
      <c r="AM22" s="99">
        <f t="shared" si="0"/>
        <v>0</v>
      </c>
      <c r="AN22" s="99">
        <f t="shared" si="0"/>
        <v>0</v>
      </c>
      <c r="AO22" s="99">
        <f t="shared" si="0"/>
        <v>0</v>
      </c>
      <c r="AP22" s="99">
        <f t="shared" si="0"/>
        <v>0</v>
      </c>
      <c r="AQ22" s="99">
        <f t="shared" si="0"/>
        <v>0</v>
      </c>
      <c r="AR22" s="99">
        <f t="shared" si="0"/>
        <v>0</v>
      </c>
    </row>
    <row r="24" spans="2:44">
      <c r="B24" s="256">
        <v>7.4999999999999997E-2</v>
      </c>
      <c r="C24" t="s">
        <v>462</v>
      </c>
      <c r="E24" s="254">
        <f t="shared" ref="E24:AR24" si="1">(1+$B$24)^E$8</f>
        <v>1.075</v>
      </c>
      <c r="F24" s="254">
        <f t="shared" si="1"/>
        <v>1.1556249999999999</v>
      </c>
      <c r="G24" s="254">
        <f t="shared" si="1"/>
        <v>1.2422968749999999</v>
      </c>
      <c r="H24" s="254">
        <f t="shared" si="1"/>
        <v>1.3354691406249999</v>
      </c>
      <c r="I24" s="254">
        <f t="shared" si="1"/>
        <v>1.4356293261718749</v>
      </c>
      <c r="J24" s="254">
        <f t="shared" si="1"/>
        <v>1.5433015256347653</v>
      </c>
      <c r="K24" s="254">
        <f t="shared" si="1"/>
        <v>1.6590491400573728</v>
      </c>
      <c r="L24" s="254">
        <f t="shared" si="1"/>
        <v>1.7834778255616757</v>
      </c>
      <c r="M24" s="254">
        <f t="shared" si="1"/>
        <v>1.9172386624788014</v>
      </c>
      <c r="N24" s="254">
        <f t="shared" si="1"/>
        <v>2.0610315621647111</v>
      </c>
      <c r="O24" s="254">
        <f t="shared" si="1"/>
        <v>2.2156089293270647</v>
      </c>
      <c r="P24" s="254">
        <f t="shared" si="1"/>
        <v>2.3817795990265944</v>
      </c>
      <c r="Q24" s="254">
        <f t="shared" si="1"/>
        <v>2.5604130689535891</v>
      </c>
      <c r="R24" s="254">
        <f t="shared" si="1"/>
        <v>2.7524440491251081</v>
      </c>
      <c r="S24" s="254">
        <f t="shared" si="1"/>
        <v>2.9588773528094912</v>
      </c>
      <c r="T24" s="254">
        <f t="shared" si="1"/>
        <v>3.1807931542702028</v>
      </c>
      <c r="U24" s="254">
        <f t="shared" si="1"/>
        <v>3.4193526408404677</v>
      </c>
      <c r="V24" s="254">
        <f t="shared" si="1"/>
        <v>3.6758040889035026</v>
      </c>
      <c r="W24" s="254">
        <f t="shared" si="1"/>
        <v>3.9514893955712656</v>
      </c>
      <c r="X24" s="254">
        <f t="shared" si="1"/>
        <v>4.2478511002391102</v>
      </c>
      <c r="Y24" s="254">
        <f t="shared" si="1"/>
        <v>4.566439932757044</v>
      </c>
      <c r="Z24" s="254">
        <f t="shared" si="1"/>
        <v>4.9089229277138218</v>
      </c>
      <c r="AA24" s="254">
        <f t="shared" si="1"/>
        <v>5.2770921472923584</v>
      </c>
      <c r="AB24" s="254">
        <f t="shared" si="1"/>
        <v>5.6728740583392847</v>
      </c>
      <c r="AC24" s="254">
        <f t="shared" si="1"/>
        <v>6.0983396127147316</v>
      </c>
      <c r="AD24" s="254">
        <f t="shared" si="1"/>
        <v>6.5557150836683347</v>
      </c>
      <c r="AE24" s="254">
        <f t="shared" si="1"/>
        <v>7.0473937149434605</v>
      </c>
      <c r="AF24" s="254">
        <f t="shared" si="1"/>
        <v>7.5759482435642198</v>
      </c>
      <c r="AG24" s="254">
        <f t="shared" si="1"/>
        <v>8.1441443618315379</v>
      </c>
      <c r="AH24" s="254">
        <f t="shared" si="1"/>
        <v>8.7549551889689017</v>
      </c>
      <c r="AI24" s="254">
        <f t="shared" si="1"/>
        <v>9.4115768281415697</v>
      </c>
      <c r="AJ24" s="254">
        <f t="shared" si="1"/>
        <v>10.117445090252186</v>
      </c>
      <c r="AK24" s="254">
        <f t="shared" si="1"/>
        <v>10.8762534720211</v>
      </c>
      <c r="AL24" s="254">
        <f t="shared" si="1"/>
        <v>11.691972482422681</v>
      </c>
      <c r="AM24" s="254">
        <f t="shared" si="1"/>
        <v>12.568870418604382</v>
      </c>
      <c r="AN24" s="254">
        <f t="shared" si="1"/>
        <v>13.511535699999712</v>
      </c>
      <c r="AO24" s="254">
        <f t="shared" si="1"/>
        <v>14.524900877499689</v>
      </c>
      <c r="AP24" s="254">
        <f t="shared" si="1"/>
        <v>15.614268443312165</v>
      </c>
      <c r="AQ24" s="254">
        <f t="shared" si="1"/>
        <v>16.785338576560576</v>
      </c>
      <c r="AR24" s="254">
        <f t="shared" si="1"/>
        <v>18.04423896980262</v>
      </c>
    </row>
    <row r="25" spans="2:44">
      <c r="C25" s="12" t="s">
        <v>463</v>
      </c>
    </row>
    <row r="26" spans="2:44" hidden="1"/>
    <row r="27" spans="2:44" ht="15" hidden="1">
      <c r="B27" s="14" t="s">
        <v>428</v>
      </c>
      <c r="E27" s="1"/>
    </row>
    <row r="28" spans="2:44" hidden="1"/>
    <row r="29" spans="2:44" hidden="1">
      <c r="B29" s="4" t="s">
        <v>464</v>
      </c>
      <c r="D29" s="26"/>
      <c r="E29" s="36">
        <v>0</v>
      </c>
      <c r="F29" s="36">
        <f t="shared" ref="F29:AR29" si="2">E30+E29-E31</f>
        <v>0</v>
      </c>
      <c r="G29" s="36">
        <f t="shared" si="2"/>
        <v>0</v>
      </c>
      <c r="H29" s="36">
        <f t="shared" si="2"/>
        <v>0</v>
      </c>
      <c r="I29" s="36">
        <f t="shared" si="2"/>
        <v>0</v>
      </c>
      <c r="J29" s="36">
        <f t="shared" si="2"/>
        <v>0</v>
      </c>
      <c r="K29" s="36">
        <f t="shared" si="2"/>
        <v>0</v>
      </c>
      <c r="L29" s="36">
        <f t="shared" si="2"/>
        <v>0</v>
      </c>
      <c r="M29" s="36">
        <f t="shared" si="2"/>
        <v>0</v>
      </c>
      <c r="N29" s="36">
        <f t="shared" si="2"/>
        <v>0</v>
      </c>
      <c r="O29" s="36">
        <f t="shared" si="2"/>
        <v>0</v>
      </c>
      <c r="P29" s="36">
        <f t="shared" si="2"/>
        <v>0</v>
      </c>
      <c r="Q29" s="36">
        <f t="shared" si="2"/>
        <v>0</v>
      </c>
      <c r="R29" s="36">
        <f t="shared" si="2"/>
        <v>0</v>
      </c>
      <c r="S29" s="36">
        <f t="shared" si="2"/>
        <v>0</v>
      </c>
      <c r="T29" s="36">
        <f t="shared" si="2"/>
        <v>0</v>
      </c>
      <c r="U29" s="36">
        <f t="shared" si="2"/>
        <v>0</v>
      </c>
      <c r="V29" s="36">
        <f t="shared" si="2"/>
        <v>0</v>
      </c>
      <c r="W29" s="36">
        <f t="shared" si="2"/>
        <v>0</v>
      </c>
      <c r="X29" s="36">
        <f t="shared" si="2"/>
        <v>0</v>
      </c>
      <c r="Y29" s="36">
        <f t="shared" si="2"/>
        <v>0</v>
      </c>
      <c r="Z29" s="36">
        <f t="shared" si="2"/>
        <v>0</v>
      </c>
      <c r="AA29" s="36">
        <f t="shared" si="2"/>
        <v>0</v>
      </c>
      <c r="AB29" s="36">
        <f t="shared" si="2"/>
        <v>0</v>
      </c>
      <c r="AC29" s="36">
        <f t="shared" si="2"/>
        <v>0</v>
      </c>
      <c r="AD29" s="36">
        <f t="shared" si="2"/>
        <v>0</v>
      </c>
      <c r="AE29" s="36">
        <f t="shared" si="2"/>
        <v>0</v>
      </c>
      <c r="AF29" s="36">
        <f t="shared" si="2"/>
        <v>0</v>
      </c>
      <c r="AG29" s="36">
        <f t="shared" si="2"/>
        <v>0</v>
      </c>
      <c r="AH29" s="36">
        <f t="shared" si="2"/>
        <v>0</v>
      </c>
      <c r="AI29" s="36">
        <f t="shared" si="2"/>
        <v>0</v>
      </c>
      <c r="AJ29" s="36">
        <f t="shared" si="2"/>
        <v>0</v>
      </c>
      <c r="AK29" s="36">
        <f t="shared" si="2"/>
        <v>0</v>
      </c>
      <c r="AL29" s="36">
        <f t="shared" si="2"/>
        <v>0</v>
      </c>
      <c r="AM29" s="36">
        <f t="shared" si="2"/>
        <v>0</v>
      </c>
      <c r="AN29" s="36">
        <f t="shared" si="2"/>
        <v>0</v>
      </c>
      <c r="AO29" s="36">
        <f t="shared" si="2"/>
        <v>0</v>
      </c>
      <c r="AP29" s="36">
        <f t="shared" si="2"/>
        <v>0</v>
      </c>
      <c r="AQ29" s="36">
        <f t="shared" si="2"/>
        <v>0</v>
      </c>
      <c r="AR29" s="36">
        <f t="shared" si="2"/>
        <v>0</v>
      </c>
    </row>
    <row r="30" spans="2:44" hidden="1">
      <c r="C30" s="4" t="s">
        <v>148</v>
      </c>
      <c r="D30" s="26"/>
      <c r="E30" s="36">
        <f>-Financing!D20</f>
        <v>0</v>
      </c>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row>
    <row r="31" spans="2:44" hidden="1">
      <c r="C31" s="4" t="s">
        <v>465</v>
      </c>
      <c r="D31" s="26"/>
      <c r="E31" s="36">
        <f>IFERROR(-PPMT(Financing!$D$23,1+Cashflow!E8-Financing!$D$22,Financing!$D$21,SUM(Cashflow!$E30:$AR30)),0)</f>
        <v>0</v>
      </c>
      <c r="F31" s="36">
        <f>IFERROR(-PPMT(Financing!$D$23,1+Cashflow!F8-Financing!$D$22,Financing!$D$21,SUM(Cashflow!$E30:$AR30)),0)</f>
        <v>0</v>
      </c>
      <c r="G31" s="36">
        <f>IFERROR(-PPMT(Financing!$D$23,1+Cashflow!G8-Financing!$D$22,Financing!$D$21,SUM(Cashflow!$E30:$AR30)),0)</f>
        <v>0</v>
      </c>
      <c r="H31" s="36">
        <f>IFERROR(-PPMT(Financing!$D$23,1+Cashflow!H8-Financing!$D$22,Financing!$D$21,SUM(Cashflow!$E30:$AR30)),0)</f>
        <v>0</v>
      </c>
      <c r="I31" s="36">
        <f>IFERROR(-PPMT(Financing!$D$23,1+Cashflow!I8-Financing!$D$22,Financing!$D$21,SUM(Cashflow!$E30:$AR30)),0)</f>
        <v>0</v>
      </c>
      <c r="J31" s="36">
        <f>IFERROR(-PPMT(Financing!$D$23,1+Cashflow!J8-Financing!$D$22,Financing!$D$21,SUM(Cashflow!$E30:$AR30)),0)</f>
        <v>0</v>
      </c>
      <c r="K31" s="36">
        <f>IFERROR(-PPMT(Financing!$D$23,1+Cashflow!K8-Financing!$D$22,Financing!$D$21,SUM(Cashflow!$E30:$AR30)),0)</f>
        <v>0</v>
      </c>
      <c r="L31" s="36">
        <f>IFERROR(-PPMT(Financing!$D$23,1+Cashflow!L8-Financing!$D$22,Financing!$D$21,SUM(Cashflow!$E30:$AR30)),0)</f>
        <v>0</v>
      </c>
      <c r="M31" s="36">
        <f>IFERROR(-PPMT(Financing!$D$23,1+Cashflow!M8-Financing!$D$22,Financing!$D$21,SUM(Cashflow!$E30:$AR30)),0)</f>
        <v>0</v>
      </c>
      <c r="N31" s="36">
        <f>IFERROR(-PPMT(Financing!$D$23,1+Cashflow!N8-Financing!$D$22,Financing!$D$21,SUM(Cashflow!$E30:$AR30)),0)</f>
        <v>0</v>
      </c>
      <c r="O31" s="36">
        <f>IFERROR(-PPMT(Financing!$D$23,1+Cashflow!O8-Financing!$D$22,Financing!$D$21,SUM(Cashflow!$E30:$AR30)),0)</f>
        <v>0</v>
      </c>
      <c r="P31" s="36">
        <f>IFERROR(-PPMT(Financing!$D$23,1+Cashflow!P8-Financing!$D$22,Financing!$D$21,SUM(Cashflow!$E30:$AR30)),0)</f>
        <v>0</v>
      </c>
      <c r="Q31" s="36">
        <f>IFERROR(-PPMT(Financing!$D$23,1+Cashflow!Q8-Financing!$D$22,Financing!$D$21,SUM(Cashflow!$E30:$AR30)),0)</f>
        <v>0</v>
      </c>
      <c r="R31" s="36">
        <f>IFERROR(-PPMT(Financing!$D$23,1+Cashflow!R8-Financing!$D$22,Financing!$D$21,SUM(Cashflow!$E30:$AR30)),0)</f>
        <v>0</v>
      </c>
      <c r="S31" s="36">
        <f>IFERROR(-PPMT(Financing!$D$23,1+Cashflow!S8-Financing!$D$22,Financing!$D$21,SUM(Cashflow!$E30:$AR30)),0)</f>
        <v>0</v>
      </c>
      <c r="T31" s="36">
        <f>IFERROR(-PPMT(Financing!$D$23,1+Cashflow!T8-Financing!$D$22,Financing!$D$21,SUM(Cashflow!$E30:$AR30)),0)</f>
        <v>0</v>
      </c>
      <c r="U31" s="36">
        <f>IFERROR(-PPMT(Financing!$D$23,1+Cashflow!U8-Financing!$D$22,Financing!$D$21,SUM(Cashflow!$E30:$AR30)),0)</f>
        <v>0</v>
      </c>
      <c r="V31" s="36">
        <f>IFERROR(-PPMT(Financing!$D$23,1+Cashflow!V8-Financing!$D$22,Financing!$D$21,SUM(Cashflow!$E30:$AR30)),0)</f>
        <v>0</v>
      </c>
      <c r="W31" s="36">
        <f>IFERROR(-PPMT(Financing!$D$23,1+Cashflow!W8-Financing!$D$22,Financing!$D$21,SUM(Cashflow!$E30:$AR30)),0)</f>
        <v>0</v>
      </c>
      <c r="X31" s="36">
        <f>IFERROR(-PPMT(Financing!$D$23,1+Cashflow!X8-Financing!$D$22,Financing!$D$21,SUM(Cashflow!$E30:$AR30)),0)</f>
        <v>0</v>
      </c>
      <c r="Y31" s="36">
        <f>IFERROR(-PPMT(Financing!$D$23,1+Cashflow!Y8-Financing!$D$22,Financing!$D$21,SUM(Cashflow!$E30:$AR30)),0)</f>
        <v>0</v>
      </c>
      <c r="Z31" s="36">
        <f>IFERROR(-PPMT(Financing!$D$23,1+Cashflow!Z8-Financing!$D$22,Financing!$D$21,SUM(Cashflow!$E30:$AR30)),0)</f>
        <v>0</v>
      </c>
      <c r="AA31" s="36">
        <f>IFERROR(-PPMT(Financing!$D$23,1+Cashflow!AA8-Financing!$D$22,Financing!$D$21,SUM(Cashflow!$E30:$AR30)),0)</f>
        <v>0</v>
      </c>
      <c r="AB31" s="36">
        <f>IFERROR(-PPMT(Financing!$D$23,1+Cashflow!AB8-Financing!$D$22,Financing!$D$21,SUM(Cashflow!$E30:$AR30)),0)</f>
        <v>0</v>
      </c>
      <c r="AC31" s="36">
        <f>IFERROR(-PPMT(Financing!$D$23,1+Cashflow!AC8-Financing!$D$22,Financing!$D$21,SUM(Cashflow!$E30:$AR30)),0)</f>
        <v>0</v>
      </c>
      <c r="AD31" s="36">
        <f>IFERROR(-PPMT(Financing!$D$23,1+Cashflow!AD8-Financing!$D$22,Financing!$D$21,SUM(Cashflow!$E30:$AR30)),0)</f>
        <v>0</v>
      </c>
      <c r="AE31" s="36">
        <f>IFERROR(-PPMT(Financing!$D$23,1+Cashflow!AE8-Financing!$D$22,Financing!$D$21,SUM(Cashflow!$E30:$AR30)),0)</f>
        <v>0</v>
      </c>
      <c r="AF31" s="36">
        <f>IFERROR(-PPMT(Financing!$D$23,1+Cashflow!AF8-Financing!$D$22,Financing!$D$21,SUM(Cashflow!$E30:$AR30)),0)</f>
        <v>0</v>
      </c>
      <c r="AG31" s="36">
        <f>IFERROR(-PPMT(Financing!$D$23,1+Cashflow!AG8-Financing!$D$22,Financing!$D$21,SUM(Cashflow!$E30:$AR30)),0)</f>
        <v>0</v>
      </c>
      <c r="AH31" s="36">
        <f>IFERROR(-PPMT(Financing!$D$23,1+Cashflow!AH8-Financing!$D$22,Financing!$D$21,SUM(Cashflow!$E30:$AR30)),0)</f>
        <v>0</v>
      </c>
      <c r="AI31" s="36">
        <f>IFERROR(-PPMT(Financing!$D$23,1+Cashflow!AI8-Financing!$D$22,Financing!$D$21,SUM(Cashflow!$E30:$AR30)),0)</f>
        <v>0</v>
      </c>
      <c r="AJ31" s="36">
        <f>IFERROR(-PPMT(Financing!$D$23,1+Cashflow!AJ8-Financing!$D$22,Financing!$D$21,SUM(Cashflow!$E30:$AR30)),0)</f>
        <v>0</v>
      </c>
      <c r="AK31" s="36">
        <f>IFERROR(-PPMT(Financing!$D$23,1+Cashflow!AK8-Financing!$D$22,Financing!$D$21,SUM(Cashflow!$E30:$AR30)),0)</f>
        <v>0</v>
      </c>
      <c r="AL31" s="36">
        <f>IFERROR(-PPMT(Financing!$D$23,1+Cashflow!AL8-Financing!$D$22,Financing!$D$21,SUM(Cashflow!$E30:$AR30)),0)</f>
        <v>0</v>
      </c>
      <c r="AM31" s="36">
        <f>IFERROR(-PPMT(Financing!$D$23,1+Cashflow!AM8-Financing!$D$22,Financing!$D$21,SUM(Cashflow!$E30:$AR30)),0)</f>
        <v>0</v>
      </c>
      <c r="AN31" s="36">
        <f>IFERROR(-PPMT(Financing!$D$23,1+Cashflow!AN8-Financing!$D$22,Financing!$D$21,SUM(Cashflow!$E30:$AR30)),0)</f>
        <v>0</v>
      </c>
      <c r="AO31" s="36">
        <f>IFERROR(-PPMT(Financing!$D$23,1+Cashflow!AO8-Financing!$D$22,Financing!$D$21,SUM(Cashflow!$E30:$AR30)),0)</f>
        <v>0</v>
      </c>
      <c r="AP31" s="36">
        <f>IFERROR(-PPMT(Financing!$D$23,1+Cashflow!AP8-Financing!$D$22,Financing!$D$21,SUM(Cashflow!$E30:$AR30)),0)</f>
        <v>0</v>
      </c>
      <c r="AQ31" s="36">
        <f>IFERROR(-PPMT(Financing!$D$23,1+Cashflow!AQ8-Financing!$D$22,Financing!$D$21,SUM(Cashflow!$E30:$AR30)),0)</f>
        <v>0</v>
      </c>
      <c r="AR31" s="36">
        <f>IFERROR(-PPMT(Financing!$D$23,1+Cashflow!AR8-Financing!$D$22,Financing!$D$21,SUM(Cashflow!$E30:$AR30)),0)</f>
        <v>0</v>
      </c>
    </row>
    <row r="32" spans="2:44" hidden="1">
      <c r="C32" s="4" t="s">
        <v>466</v>
      </c>
      <c r="D32" s="26"/>
      <c r="E32" s="36">
        <f t="shared" ref="E32:AR32" si="3">E29+E30-E31</f>
        <v>0</v>
      </c>
      <c r="F32" s="36">
        <f t="shared" si="3"/>
        <v>0</v>
      </c>
      <c r="G32" s="36">
        <f t="shared" si="3"/>
        <v>0</v>
      </c>
      <c r="H32" s="36">
        <f t="shared" si="3"/>
        <v>0</v>
      </c>
      <c r="I32" s="36">
        <f t="shared" si="3"/>
        <v>0</v>
      </c>
      <c r="J32" s="36">
        <f t="shared" si="3"/>
        <v>0</v>
      </c>
      <c r="K32" s="36">
        <f t="shared" si="3"/>
        <v>0</v>
      </c>
      <c r="L32" s="36">
        <f t="shared" si="3"/>
        <v>0</v>
      </c>
      <c r="M32" s="36">
        <f t="shared" si="3"/>
        <v>0</v>
      </c>
      <c r="N32" s="36">
        <f t="shared" si="3"/>
        <v>0</v>
      </c>
      <c r="O32" s="36">
        <f t="shared" si="3"/>
        <v>0</v>
      </c>
      <c r="P32" s="36">
        <f t="shared" si="3"/>
        <v>0</v>
      </c>
      <c r="Q32" s="36">
        <f t="shared" si="3"/>
        <v>0</v>
      </c>
      <c r="R32" s="36">
        <f t="shared" si="3"/>
        <v>0</v>
      </c>
      <c r="S32" s="36">
        <f t="shared" si="3"/>
        <v>0</v>
      </c>
      <c r="T32" s="36">
        <f t="shared" si="3"/>
        <v>0</v>
      </c>
      <c r="U32" s="36">
        <f t="shared" si="3"/>
        <v>0</v>
      </c>
      <c r="V32" s="36">
        <f t="shared" si="3"/>
        <v>0</v>
      </c>
      <c r="W32" s="36">
        <f t="shared" si="3"/>
        <v>0</v>
      </c>
      <c r="X32" s="36">
        <f t="shared" si="3"/>
        <v>0</v>
      </c>
      <c r="Y32" s="36">
        <f t="shared" si="3"/>
        <v>0</v>
      </c>
      <c r="Z32" s="36">
        <f t="shared" si="3"/>
        <v>0</v>
      </c>
      <c r="AA32" s="36">
        <f t="shared" si="3"/>
        <v>0</v>
      </c>
      <c r="AB32" s="36">
        <f t="shared" si="3"/>
        <v>0</v>
      </c>
      <c r="AC32" s="36">
        <f t="shared" si="3"/>
        <v>0</v>
      </c>
      <c r="AD32" s="36">
        <f t="shared" si="3"/>
        <v>0</v>
      </c>
      <c r="AE32" s="36">
        <f t="shared" si="3"/>
        <v>0</v>
      </c>
      <c r="AF32" s="36">
        <f t="shared" si="3"/>
        <v>0</v>
      </c>
      <c r="AG32" s="36">
        <f t="shared" si="3"/>
        <v>0</v>
      </c>
      <c r="AH32" s="36">
        <f t="shared" si="3"/>
        <v>0</v>
      </c>
      <c r="AI32" s="36">
        <f t="shared" si="3"/>
        <v>0</v>
      </c>
      <c r="AJ32" s="36">
        <f t="shared" si="3"/>
        <v>0</v>
      </c>
      <c r="AK32" s="36">
        <f t="shared" si="3"/>
        <v>0</v>
      </c>
      <c r="AL32" s="36">
        <f t="shared" si="3"/>
        <v>0</v>
      </c>
      <c r="AM32" s="36">
        <f t="shared" si="3"/>
        <v>0</v>
      </c>
      <c r="AN32" s="36">
        <f t="shared" si="3"/>
        <v>0</v>
      </c>
      <c r="AO32" s="36">
        <f t="shared" si="3"/>
        <v>0</v>
      </c>
      <c r="AP32" s="36">
        <f t="shared" si="3"/>
        <v>0</v>
      </c>
      <c r="AQ32" s="36">
        <f t="shared" si="3"/>
        <v>0</v>
      </c>
      <c r="AR32" s="36">
        <f t="shared" si="3"/>
        <v>0</v>
      </c>
    </row>
    <row r="33" spans="2:44" hidden="1">
      <c r="B33" s="4"/>
    </row>
    <row r="34" spans="2:44" hidden="1">
      <c r="B34" s="4" t="s">
        <v>467</v>
      </c>
      <c r="D34" s="26"/>
      <c r="E34" s="36">
        <f>IFERROR(IPMT(Financing!$D$23,1+Cashflow!E8-Financing!$D$22,Financing!$D$21,Financing!$D$20),0)</f>
        <v>0</v>
      </c>
      <c r="F34" s="36">
        <f>IFERROR(IPMT(Financing!$D$23,1+Cashflow!F8-Financing!$D$22,Financing!$D$21,Financing!$D$20),0)</f>
        <v>0</v>
      </c>
      <c r="G34" s="36">
        <f>IFERROR(IPMT(Financing!$D$23,1+Cashflow!G8-Financing!$D$22,Financing!$D$21,Financing!$D$20),0)</f>
        <v>0</v>
      </c>
      <c r="H34" s="36">
        <f>IFERROR(IPMT(Financing!$D$23,1+Cashflow!H8-Financing!$D$22,Financing!$D$21,Financing!$D$20),0)</f>
        <v>0</v>
      </c>
      <c r="I34" s="36">
        <f>IFERROR(IPMT(Financing!$D$23,1+Cashflow!I8-Financing!$D$22,Financing!$D$21,Financing!$D$20),0)</f>
        <v>0</v>
      </c>
      <c r="J34" s="36">
        <f>IFERROR(IPMT(Financing!$D$23,1+Cashflow!J8-Financing!$D$22,Financing!$D$21,Financing!$D$20),0)</f>
        <v>0</v>
      </c>
      <c r="K34" s="36">
        <f>IFERROR(IPMT(Financing!$D$23,1+Cashflow!K8-Financing!$D$22,Financing!$D$21,Financing!$D$20),0)</f>
        <v>0</v>
      </c>
      <c r="L34" s="36">
        <f>IFERROR(IPMT(Financing!$D$23,1+Cashflow!L8-Financing!$D$22,Financing!$D$21,Financing!$D$20),0)</f>
        <v>0</v>
      </c>
      <c r="M34" s="36">
        <f>IFERROR(IPMT(Financing!$D$23,1+Cashflow!M8-Financing!$D$22,Financing!$D$21,Financing!$D$20),0)</f>
        <v>0</v>
      </c>
      <c r="N34" s="36">
        <f>IFERROR(IPMT(Financing!$D$23,1+Cashflow!N8-Financing!$D$22,Financing!$D$21,Financing!$D$20),0)</f>
        <v>0</v>
      </c>
      <c r="O34" s="36">
        <f>IFERROR(IPMT(Financing!$D$23,1+Cashflow!O8-Financing!$D$22,Financing!$D$21,Financing!$D$20),0)</f>
        <v>0</v>
      </c>
      <c r="P34" s="36">
        <f>IFERROR(IPMT(Financing!$D$23,1+Cashflow!P8-Financing!$D$22,Financing!$D$21,Financing!$D$20),0)</f>
        <v>0</v>
      </c>
      <c r="Q34" s="36">
        <f>IFERROR(IPMT(Financing!$D$23,1+Cashflow!Q8-Financing!$D$22,Financing!$D$21,Financing!$D$20),0)</f>
        <v>0</v>
      </c>
      <c r="R34" s="36">
        <f>IFERROR(IPMT(Financing!$D$23,1+Cashflow!R8-Financing!$D$22,Financing!$D$21,Financing!$D$20),0)</f>
        <v>0</v>
      </c>
      <c r="S34" s="36">
        <f>IFERROR(IPMT(Financing!$D$23,1+Cashflow!S8-Financing!$D$22,Financing!$D$21,Financing!$D$20),0)</f>
        <v>0</v>
      </c>
      <c r="T34" s="36">
        <f>IFERROR(IPMT(Financing!$D$23,1+Cashflow!T8-Financing!$D$22,Financing!$D$21,Financing!$D$20),0)</f>
        <v>0</v>
      </c>
      <c r="U34" s="36">
        <f>IFERROR(IPMT(Financing!$D$23,1+Cashflow!U8-Financing!$D$22,Financing!$D$21,Financing!$D$20),0)</f>
        <v>0</v>
      </c>
      <c r="V34" s="36">
        <f>IFERROR(IPMT(Financing!$D$23,1+Cashflow!V8-Financing!$D$22,Financing!$D$21,Financing!$D$20),0)</f>
        <v>0</v>
      </c>
      <c r="W34" s="36">
        <f>IFERROR(IPMT(Financing!$D$23,1+Cashflow!W8-Financing!$D$22,Financing!$D$21,Financing!$D$20),0)</f>
        <v>0</v>
      </c>
      <c r="X34" s="36">
        <f>IFERROR(IPMT(Financing!$D$23,1+Cashflow!X8-Financing!$D$22,Financing!$D$21,Financing!$D$20),0)</f>
        <v>0</v>
      </c>
      <c r="Y34" s="36">
        <f>IFERROR(IPMT(Financing!$D$23,1+Cashflow!Y8-Financing!$D$22,Financing!$D$21,Financing!$D$20),0)</f>
        <v>0</v>
      </c>
      <c r="Z34" s="36">
        <f>IFERROR(IPMT(Financing!$D$23,1+Cashflow!Z8-Financing!$D$22,Financing!$D$21,Financing!$D$20),0)</f>
        <v>0</v>
      </c>
      <c r="AA34" s="36">
        <f>IFERROR(IPMT(Financing!$D$23,1+Cashflow!AA8-Financing!$D$22,Financing!$D$21,Financing!$D$20),0)</f>
        <v>0</v>
      </c>
      <c r="AB34" s="36">
        <f>IFERROR(IPMT(Financing!$D$23,1+Cashflow!AB8-Financing!$D$22,Financing!$D$21,Financing!$D$20),0)</f>
        <v>0</v>
      </c>
      <c r="AC34" s="36">
        <f>IFERROR(IPMT(Financing!$D$23,1+Cashflow!AC8-Financing!$D$22,Financing!$D$21,Financing!$D$20),0)</f>
        <v>0</v>
      </c>
      <c r="AD34" s="36">
        <f>IFERROR(IPMT(Financing!$D$23,1+Cashflow!AD8-Financing!$D$22,Financing!$D$21,Financing!$D$20),0)</f>
        <v>0</v>
      </c>
      <c r="AE34" s="36">
        <f>IFERROR(IPMT(Financing!$D$23,1+Cashflow!AE8-Financing!$D$22,Financing!$D$21,Financing!$D$20),0)</f>
        <v>0</v>
      </c>
      <c r="AF34" s="36">
        <f>IFERROR(IPMT(Financing!$D$23,1+Cashflow!AF8-Financing!$D$22,Financing!$D$21,Financing!$D$20),0)</f>
        <v>0</v>
      </c>
      <c r="AG34" s="36">
        <f>IFERROR(IPMT(Financing!$D$23,1+Cashflow!AG8-Financing!$D$22,Financing!$D$21,Financing!$D$20),0)</f>
        <v>0</v>
      </c>
      <c r="AH34" s="36">
        <f>IFERROR(IPMT(Financing!$D$23,1+Cashflow!AH8-Financing!$D$22,Financing!$D$21,Financing!$D$20),0)</f>
        <v>0</v>
      </c>
      <c r="AI34" s="36">
        <f>IFERROR(IPMT(Financing!$D$23,1+Cashflow!AI8-Financing!$D$22,Financing!$D$21,Financing!$D$20),0)</f>
        <v>0</v>
      </c>
      <c r="AJ34" s="36">
        <f>IFERROR(IPMT(Financing!$D$23,1+Cashflow!AJ8-Financing!$D$22,Financing!$D$21,Financing!$D$20),0)</f>
        <v>0</v>
      </c>
      <c r="AK34" s="36">
        <f>IFERROR(IPMT(Financing!$D$23,1+Cashflow!AK8-Financing!$D$22,Financing!$D$21,Financing!$D$20),0)</f>
        <v>0</v>
      </c>
      <c r="AL34" s="36">
        <f>IFERROR(IPMT(Financing!$D$23,1+Cashflow!AL8-Financing!$D$22,Financing!$D$21,Financing!$D$20),0)</f>
        <v>0</v>
      </c>
      <c r="AM34" s="36">
        <f>IFERROR(IPMT(Financing!$D$23,1+Cashflow!AM8-Financing!$D$22,Financing!$D$21,Financing!$D$20),0)</f>
        <v>0</v>
      </c>
      <c r="AN34" s="36">
        <f>IFERROR(IPMT(Financing!$D$23,1+Cashflow!AN8-Financing!$D$22,Financing!$D$21,Financing!$D$20),0)</f>
        <v>0</v>
      </c>
      <c r="AO34" s="36">
        <f>IFERROR(IPMT(Financing!$D$23,1+Cashflow!AO8-Financing!$D$22,Financing!$D$21,Financing!$D$20),0)</f>
        <v>0</v>
      </c>
      <c r="AP34" s="36">
        <f>IFERROR(IPMT(Financing!$D$23,1+Cashflow!AP8-Financing!$D$22,Financing!$D$21,Financing!$D$20),0)</f>
        <v>0</v>
      </c>
      <c r="AQ34" s="36">
        <f>IFERROR(IPMT(Financing!$D$23,1+Cashflow!AQ8-Financing!$D$22,Financing!$D$21,Financing!$D$20),0)</f>
        <v>0</v>
      </c>
      <c r="AR34" s="36">
        <f>IFERROR(IPMT(Financing!$D$23,1+Cashflow!AR8-Financing!$D$22,Financing!$D$21,Financing!$D$20),0)</f>
        <v>0</v>
      </c>
    </row>
    <row r="35" spans="2:44" hidden="1"/>
    <row r="36" spans="2:44" hidden="1">
      <c r="B36" s="4" t="s">
        <v>468</v>
      </c>
    </row>
    <row r="37" spans="2:44" hidden="1">
      <c r="C37" t="s">
        <v>469</v>
      </c>
      <c r="D37" s="26"/>
      <c r="E37" s="36">
        <f>E34+E31</f>
        <v>0</v>
      </c>
      <c r="F37" s="36">
        <f t="shared" ref="F37:AR37" si="4">F34+F31</f>
        <v>0</v>
      </c>
      <c r="G37" s="36">
        <f t="shared" si="4"/>
        <v>0</v>
      </c>
      <c r="H37" s="36">
        <f t="shared" si="4"/>
        <v>0</v>
      </c>
      <c r="I37" s="36">
        <f t="shared" si="4"/>
        <v>0</v>
      </c>
      <c r="J37" s="36">
        <f t="shared" si="4"/>
        <v>0</v>
      </c>
      <c r="K37" s="36">
        <f t="shared" si="4"/>
        <v>0</v>
      </c>
      <c r="L37" s="36">
        <f t="shared" si="4"/>
        <v>0</v>
      </c>
      <c r="M37" s="36">
        <f t="shared" si="4"/>
        <v>0</v>
      </c>
      <c r="N37" s="36">
        <f t="shared" si="4"/>
        <v>0</v>
      </c>
      <c r="O37" s="36">
        <f t="shared" si="4"/>
        <v>0</v>
      </c>
      <c r="P37" s="36">
        <f t="shared" si="4"/>
        <v>0</v>
      </c>
      <c r="Q37" s="36">
        <f t="shared" si="4"/>
        <v>0</v>
      </c>
      <c r="R37" s="36">
        <f t="shared" si="4"/>
        <v>0</v>
      </c>
      <c r="S37" s="36">
        <f t="shared" si="4"/>
        <v>0</v>
      </c>
      <c r="T37" s="36">
        <f t="shared" si="4"/>
        <v>0</v>
      </c>
      <c r="U37" s="36">
        <f t="shared" si="4"/>
        <v>0</v>
      </c>
      <c r="V37" s="36">
        <f t="shared" si="4"/>
        <v>0</v>
      </c>
      <c r="W37" s="36">
        <f t="shared" si="4"/>
        <v>0</v>
      </c>
      <c r="X37" s="36">
        <f t="shared" si="4"/>
        <v>0</v>
      </c>
      <c r="Y37" s="36">
        <f t="shared" si="4"/>
        <v>0</v>
      </c>
      <c r="Z37" s="36">
        <f t="shared" si="4"/>
        <v>0</v>
      </c>
      <c r="AA37" s="36">
        <f t="shared" si="4"/>
        <v>0</v>
      </c>
      <c r="AB37" s="36">
        <f t="shared" si="4"/>
        <v>0</v>
      </c>
      <c r="AC37" s="36">
        <f t="shared" si="4"/>
        <v>0</v>
      </c>
      <c r="AD37" s="36">
        <f t="shared" si="4"/>
        <v>0</v>
      </c>
      <c r="AE37" s="36">
        <f t="shared" si="4"/>
        <v>0</v>
      </c>
      <c r="AF37" s="36">
        <f t="shared" si="4"/>
        <v>0</v>
      </c>
      <c r="AG37" s="36">
        <f t="shared" si="4"/>
        <v>0</v>
      </c>
      <c r="AH37" s="36">
        <f t="shared" si="4"/>
        <v>0</v>
      </c>
      <c r="AI37" s="36">
        <f t="shared" si="4"/>
        <v>0</v>
      </c>
      <c r="AJ37" s="36">
        <f t="shared" si="4"/>
        <v>0</v>
      </c>
      <c r="AK37" s="36">
        <f t="shared" si="4"/>
        <v>0</v>
      </c>
      <c r="AL37" s="36">
        <f t="shared" si="4"/>
        <v>0</v>
      </c>
      <c r="AM37" s="36">
        <f t="shared" si="4"/>
        <v>0</v>
      </c>
      <c r="AN37" s="36">
        <f t="shared" si="4"/>
        <v>0</v>
      </c>
      <c r="AO37" s="36">
        <f t="shared" si="4"/>
        <v>0</v>
      </c>
      <c r="AP37" s="36">
        <f t="shared" si="4"/>
        <v>0</v>
      </c>
      <c r="AQ37" s="36">
        <f t="shared" si="4"/>
        <v>0</v>
      </c>
      <c r="AR37" s="36">
        <f t="shared" si="4"/>
        <v>0</v>
      </c>
    </row>
    <row r="38" spans="2:44" hidden="1"/>
    <row r="39" spans="2:44" hidden="1">
      <c r="C39" t="s">
        <v>470</v>
      </c>
      <c r="D39" s="26"/>
      <c r="E39" s="36">
        <f>SUM(E37:AR37)</f>
        <v>0</v>
      </c>
    </row>
    <row r="40" spans="2:44" hidden="1"/>
    <row r="41" spans="2:44" ht="15">
      <c r="D41" s="116" t="s">
        <v>471</v>
      </c>
      <c r="E41" s="99">
        <f>E22/E24</f>
        <v>557891.90998366568</v>
      </c>
      <c r="F41" s="99">
        <f t="shared" ref="F41:AR41" si="5">F22/F24</f>
        <v>1069700.0216773872</v>
      </c>
      <c r="G41" s="99">
        <f t="shared" si="5"/>
        <v>11461427.257934617</v>
      </c>
      <c r="H41" s="99">
        <f t="shared" si="5"/>
        <v>169041.71959701664</v>
      </c>
      <c r="I41" s="99">
        <f t="shared" si="5"/>
        <v>151745.2980574728</v>
      </c>
      <c r="J41" s="99">
        <f t="shared" si="5"/>
        <v>0</v>
      </c>
      <c r="K41" s="99">
        <f t="shared" si="5"/>
        <v>0</v>
      </c>
      <c r="L41" s="99">
        <f t="shared" si="5"/>
        <v>0</v>
      </c>
      <c r="M41" s="99">
        <f t="shared" si="5"/>
        <v>0</v>
      </c>
      <c r="N41" s="99">
        <f t="shared" si="5"/>
        <v>0</v>
      </c>
      <c r="O41" s="99">
        <f t="shared" si="5"/>
        <v>0</v>
      </c>
      <c r="P41" s="99">
        <f t="shared" si="5"/>
        <v>0</v>
      </c>
      <c r="Q41" s="99">
        <f t="shared" si="5"/>
        <v>0</v>
      </c>
      <c r="R41" s="99">
        <f t="shared" si="5"/>
        <v>0</v>
      </c>
      <c r="S41" s="99">
        <f t="shared" si="5"/>
        <v>0</v>
      </c>
      <c r="T41" s="99">
        <f t="shared" si="5"/>
        <v>0</v>
      </c>
      <c r="U41" s="99">
        <f t="shared" si="5"/>
        <v>0</v>
      </c>
      <c r="V41" s="99">
        <f t="shared" si="5"/>
        <v>0</v>
      </c>
      <c r="W41" s="99">
        <f t="shared" si="5"/>
        <v>0</v>
      </c>
      <c r="X41" s="99">
        <f t="shared" si="5"/>
        <v>0</v>
      </c>
      <c r="Y41" s="99">
        <f t="shared" si="5"/>
        <v>0</v>
      </c>
      <c r="Z41" s="99">
        <f t="shared" si="5"/>
        <v>0</v>
      </c>
      <c r="AA41" s="99">
        <f t="shared" si="5"/>
        <v>0</v>
      </c>
      <c r="AB41" s="99">
        <f t="shared" si="5"/>
        <v>0</v>
      </c>
      <c r="AC41" s="99">
        <f t="shared" si="5"/>
        <v>0</v>
      </c>
      <c r="AD41" s="99">
        <f t="shared" si="5"/>
        <v>0</v>
      </c>
      <c r="AE41" s="99">
        <f t="shared" si="5"/>
        <v>0</v>
      </c>
      <c r="AF41" s="99">
        <f t="shared" si="5"/>
        <v>0</v>
      </c>
      <c r="AG41" s="99">
        <f t="shared" si="5"/>
        <v>0</v>
      </c>
      <c r="AH41" s="99">
        <f t="shared" si="5"/>
        <v>0</v>
      </c>
      <c r="AI41" s="99">
        <f t="shared" si="5"/>
        <v>0</v>
      </c>
      <c r="AJ41" s="99">
        <f t="shared" si="5"/>
        <v>0</v>
      </c>
      <c r="AK41" s="99">
        <f t="shared" si="5"/>
        <v>0</v>
      </c>
      <c r="AL41" s="99">
        <f t="shared" si="5"/>
        <v>0</v>
      </c>
      <c r="AM41" s="99">
        <f t="shared" si="5"/>
        <v>0</v>
      </c>
      <c r="AN41" s="99">
        <f t="shared" si="5"/>
        <v>0</v>
      </c>
      <c r="AO41" s="99">
        <f t="shared" si="5"/>
        <v>0</v>
      </c>
      <c r="AP41" s="99">
        <f t="shared" si="5"/>
        <v>0</v>
      </c>
      <c r="AQ41" s="99">
        <f t="shared" si="5"/>
        <v>0</v>
      </c>
      <c r="AR41" s="99">
        <f t="shared" si="5"/>
        <v>0</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C6707-C1EC-4B70-AB01-474B91DB0D64}">
  <sheetPr>
    <tabColor theme="6" tint="0.39997558519241921"/>
  </sheetPr>
  <dimension ref="A1:BE70"/>
  <sheetViews>
    <sheetView showGridLines="0" zoomScale="60" zoomScaleNormal="60" workbookViewId="0">
      <selection activeCell="A30" sqref="A30"/>
    </sheetView>
  </sheetViews>
  <sheetFormatPr defaultColWidth="0" defaultRowHeight="14.25"/>
  <cols>
    <col min="1" max="1" width="8.625" customWidth="1"/>
    <col min="2" max="2" width="17.125" customWidth="1"/>
    <col min="3" max="3" width="41.875" customWidth="1"/>
    <col min="4" max="4" width="12.5" customWidth="1"/>
    <col min="5" max="47" width="14.125" customWidth="1"/>
    <col min="48" max="49" width="8.625" customWidth="1"/>
    <col min="50" max="57" width="0" hidden="1" customWidth="1"/>
    <col min="58" max="16384" width="8.625" hidden="1"/>
  </cols>
  <sheetData>
    <row r="1" spans="1:19" ht="45" customHeight="1">
      <c r="A1" s="1"/>
    </row>
    <row r="2" spans="1:19" ht="18">
      <c r="B2" s="3" t="s">
        <v>472</v>
      </c>
    </row>
    <row r="4" spans="1:19" ht="18">
      <c r="B4" s="126"/>
      <c r="C4" s="127"/>
      <c r="D4" s="127"/>
      <c r="E4" s="127"/>
      <c r="F4" s="127"/>
      <c r="G4" s="127"/>
      <c r="H4" s="127"/>
      <c r="I4" s="127"/>
      <c r="J4" s="127"/>
      <c r="K4" s="127"/>
      <c r="L4" s="127"/>
      <c r="M4" s="127"/>
      <c r="N4" s="127"/>
      <c r="O4" s="127"/>
      <c r="P4" s="127"/>
      <c r="Q4" s="127"/>
      <c r="R4" s="127"/>
      <c r="S4" s="127"/>
    </row>
    <row r="6" spans="1:19">
      <c r="E6" s="36"/>
    </row>
    <row r="7" spans="1:19">
      <c r="B7" t="s">
        <v>473</v>
      </c>
      <c r="D7" s="225">
        <v>1815</v>
      </c>
      <c r="F7" s="40" t="s">
        <v>474</v>
      </c>
      <c r="G7" s="217"/>
      <c r="H7" s="217"/>
      <c r="I7" s="217"/>
      <c r="J7" s="217"/>
      <c r="K7" s="217"/>
      <c r="L7" s="217"/>
      <c r="M7" s="217"/>
    </row>
    <row r="8" spans="1:19">
      <c r="B8" t="s">
        <v>475</v>
      </c>
      <c r="D8" s="38">
        <v>653</v>
      </c>
      <c r="F8" s="8" t="s">
        <v>474</v>
      </c>
      <c r="G8" s="217"/>
      <c r="H8" s="217"/>
      <c r="I8" s="217"/>
      <c r="J8" s="217"/>
      <c r="K8" s="217"/>
      <c r="L8" s="217"/>
      <c r="M8" s="217"/>
    </row>
    <row r="9" spans="1:19">
      <c r="B9" t="s">
        <v>476</v>
      </c>
      <c r="D9" s="226">
        <f>D8*D7</f>
        <v>1185195</v>
      </c>
    </row>
    <row r="11" spans="1:19">
      <c r="B11" t="s">
        <v>477</v>
      </c>
      <c r="D11" s="236">
        <f>'Improvement timeline'!G65</f>
        <v>6316.2000000000016</v>
      </c>
      <c r="F11" s="8" t="s">
        <v>474</v>
      </c>
      <c r="G11" s="217"/>
      <c r="H11" s="217"/>
      <c r="I11" s="217"/>
      <c r="J11" s="217"/>
      <c r="K11" s="217"/>
      <c r="L11" s="217"/>
      <c r="M11" s="217"/>
    </row>
    <row r="12" spans="1:19">
      <c r="B12" t="s">
        <v>478</v>
      </c>
      <c r="D12" s="237">
        <f>SUM('Improvement timeline'!H65:L65)</f>
        <v>526</v>
      </c>
      <c r="F12" s="8" t="s">
        <v>474</v>
      </c>
      <c r="G12" s="217"/>
      <c r="H12" s="217"/>
      <c r="I12" s="217"/>
      <c r="J12" s="217"/>
      <c r="K12" s="217"/>
      <c r="L12" s="217"/>
      <c r="M12" s="217"/>
    </row>
    <row r="13" spans="1:19">
      <c r="B13" t="s">
        <v>479</v>
      </c>
      <c r="D13" s="235">
        <f>D12*D11</f>
        <v>3322321.2000000007</v>
      </c>
    </row>
    <row r="15" spans="1:19">
      <c r="B15" t="s">
        <v>480</v>
      </c>
      <c r="D15" s="227">
        <v>115909.4</v>
      </c>
      <c r="E15" s="12" t="s">
        <v>481</v>
      </c>
      <c r="F15" s="8" t="s">
        <v>482</v>
      </c>
      <c r="G15" s="217"/>
      <c r="H15" s="217"/>
      <c r="I15" s="217"/>
      <c r="J15" s="217"/>
      <c r="K15" s="217"/>
      <c r="L15" s="217"/>
      <c r="M15" s="217"/>
    </row>
    <row r="17" spans="2:13">
      <c r="B17" t="s">
        <v>483</v>
      </c>
      <c r="D17" s="232">
        <f>Assumptions!E49</f>
        <v>255</v>
      </c>
      <c r="E17" s="12" t="s">
        <v>484</v>
      </c>
      <c r="F17" s="8" t="s">
        <v>485</v>
      </c>
      <c r="G17" s="217"/>
      <c r="H17" s="217"/>
      <c r="I17" s="217"/>
      <c r="J17" s="217"/>
      <c r="K17" s="217"/>
      <c r="L17" s="217"/>
      <c r="M17" s="217"/>
    </row>
    <row r="18" spans="2:13">
      <c r="B18" t="s">
        <v>486</v>
      </c>
      <c r="D18" s="233">
        <f>Assumptions!E45</f>
        <v>89</v>
      </c>
      <c r="E18" s="12" t="s">
        <v>484</v>
      </c>
      <c r="F18" s="230" t="s">
        <v>487</v>
      </c>
      <c r="G18" s="217"/>
      <c r="H18" s="217"/>
      <c r="I18" s="217"/>
      <c r="J18" s="217"/>
      <c r="K18" s="217"/>
      <c r="L18" s="217"/>
      <c r="M18" s="217"/>
    </row>
    <row r="20" spans="2:13">
      <c r="B20" t="s">
        <v>488</v>
      </c>
      <c r="D20" s="228">
        <f>D15*D17</f>
        <v>29556897</v>
      </c>
      <c r="E20" s="229" t="s">
        <v>489</v>
      </c>
      <c r="F20" s="8" t="s">
        <v>490</v>
      </c>
      <c r="G20" s="217"/>
      <c r="H20" s="217"/>
      <c r="I20" s="217"/>
      <c r="J20" s="217"/>
      <c r="K20" s="217"/>
      <c r="L20" s="217"/>
      <c r="M20" s="217"/>
    </row>
    <row r="21" spans="2:13">
      <c r="B21" t="s">
        <v>491</v>
      </c>
      <c r="D21" s="228">
        <f>D15*D18</f>
        <v>10315936.6</v>
      </c>
      <c r="E21" s="229" t="s">
        <v>489</v>
      </c>
      <c r="F21" s="8" t="s">
        <v>490</v>
      </c>
      <c r="G21" s="217"/>
      <c r="H21" s="217"/>
      <c r="I21" s="217"/>
      <c r="J21" s="217"/>
      <c r="K21" s="217"/>
      <c r="L21" s="217"/>
      <c r="M21" s="217"/>
    </row>
    <row r="23" spans="2:13" ht="38.450000000000003" customHeight="1">
      <c r="B23" s="4" t="s">
        <v>66</v>
      </c>
      <c r="D23" s="231">
        <f>Dashboard!C31</f>
        <v>9.9974734585025148E-4</v>
      </c>
      <c r="F23" s="273" t="str">
        <f>Dashboard!E31</f>
        <v xml:space="preserve">Average value (15 October 2021): https://www.bnr.rw/currency/exchange-rate/?tx_bnrcurrencymanager_master%5Baction%5D=list&amp;tx_bnrcurrencymanager_master%5Bcontroller%5D=Currency&amp;cHash=4fb7571d4be4cafcb4dc2859ca4996ea </v>
      </c>
      <c r="G23" s="274"/>
      <c r="H23" s="274"/>
      <c r="I23" s="274"/>
      <c r="J23" s="274"/>
      <c r="K23" s="274"/>
      <c r="L23" s="274"/>
      <c r="M23" s="274"/>
    </row>
    <row r="24" spans="2:13">
      <c r="B24" s="4"/>
    </row>
    <row r="25" spans="2:13">
      <c r="B25" t="s">
        <v>488</v>
      </c>
      <c r="D25" s="226">
        <f>D20*D23</f>
        <v>29549.42932731926</v>
      </c>
      <c r="E25" s="229" t="s">
        <v>492</v>
      </c>
      <c r="F25" s="8" t="s">
        <v>490</v>
      </c>
      <c r="G25" s="217"/>
      <c r="H25" s="217"/>
      <c r="I25" s="217"/>
      <c r="J25" s="217"/>
      <c r="K25" s="217"/>
      <c r="L25" s="217"/>
      <c r="M25" s="217"/>
    </row>
    <row r="26" spans="2:13">
      <c r="B26" t="s">
        <v>491</v>
      </c>
      <c r="D26" s="226">
        <f>D21*D23</f>
        <v>10313.330235809466</v>
      </c>
      <c r="E26" s="229" t="s">
        <v>492</v>
      </c>
      <c r="F26" s="8" t="s">
        <v>490</v>
      </c>
      <c r="G26" s="217"/>
      <c r="H26" s="217"/>
      <c r="I26" s="217"/>
      <c r="J26" s="217"/>
      <c r="K26" s="217"/>
      <c r="L26" s="217"/>
      <c r="M26" s="217"/>
    </row>
    <row r="28" spans="2:13">
      <c r="B28" t="s">
        <v>493</v>
      </c>
      <c r="D28" s="226">
        <f>D13-D9</f>
        <v>2137126.2000000007</v>
      </c>
      <c r="F28" s="8" t="s">
        <v>494</v>
      </c>
      <c r="G28" s="217"/>
      <c r="H28" s="217"/>
      <c r="I28" s="217"/>
      <c r="J28" s="217"/>
      <c r="K28" s="217"/>
      <c r="L28" s="217"/>
      <c r="M28" s="217"/>
    </row>
    <row r="30" spans="2:13">
      <c r="B30" t="s">
        <v>495</v>
      </c>
      <c r="D30" s="228">
        <f>D28/D25</f>
        <v>72.323772358749707</v>
      </c>
      <c r="E30" s="229" t="s">
        <v>43</v>
      </c>
      <c r="F30" s="8" t="s">
        <v>496</v>
      </c>
      <c r="G30" s="217"/>
      <c r="H30" s="217"/>
      <c r="I30" s="217"/>
      <c r="J30" s="217"/>
      <c r="K30" s="217"/>
      <c r="L30" s="217"/>
      <c r="M30" s="217"/>
    </row>
    <row r="31" spans="2:13">
      <c r="B31" t="s">
        <v>497</v>
      </c>
      <c r="D31" s="228">
        <f>D28/D26</f>
        <v>207.21979720765367</v>
      </c>
      <c r="E31" s="229" t="s">
        <v>43</v>
      </c>
      <c r="F31" s="8" t="s">
        <v>496</v>
      </c>
      <c r="G31" s="217"/>
      <c r="H31" s="217"/>
      <c r="I31" s="217"/>
      <c r="J31" s="217"/>
      <c r="K31" s="217"/>
      <c r="L31" s="217"/>
      <c r="M31" s="217"/>
    </row>
    <row r="33" spans="1:43">
      <c r="B33" t="s">
        <v>498</v>
      </c>
      <c r="D33" s="238">
        <v>7.0000000000000007E-2</v>
      </c>
      <c r="F33" s="8" t="s">
        <v>499</v>
      </c>
      <c r="G33" s="102"/>
      <c r="H33" s="102"/>
      <c r="I33" s="102"/>
      <c r="J33" s="102"/>
      <c r="K33" s="102"/>
      <c r="L33" s="102"/>
      <c r="M33" s="103"/>
    </row>
    <row r="36" spans="1:43" ht="15">
      <c r="C36" s="116" t="str">
        <f>Timeline!I6</f>
        <v>Calendar year</v>
      </c>
      <c r="D36">
        <f>Timeline!J6</f>
        <v>2023</v>
      </c>
      <c r="E36">
        <f>Timeline!K6</f>
        <v>2024</v>
      </c>
      <c r="F36">
        <f>Timeline!L6</f>
        <v>2025</v>
      </c>
      <c r="G36">
        <f>Timeline!M6</f>
        <v>2026</v>
      </c>
      <c r="H36">
        <f>Timeline!N6</f>
        <v>2027</v>
      </c>
      <c r="I36">
        <f>Timeline!O6</f>
        <v>2028</v>
      </c>
      <c r="J36">
        <f>Timeline!P6</f>
        <v>2029</v>
      </c>
      <c r="K36">
        <f>Timeline!Q6</f>
        <v>2030</v>
      </c>
      <c r="L36">
        <f>Timeline!R6</f>
        <v>2031</v>
      </c>
      <c r="M36">
        <f>Timeline!S6</f>
        <v>2032</v>
      </c>
      <c r="N36">
        <f>Timeline!T6</f>
        <v>2033</v>
      </c>
      <c r="O36">
        <f>Timeline!U6</f>
        <v>2034</v>
      </c>
      <c r="P36">
        <f>Timeline!V6</f>
        <v>2035</v>
      </c>
      <c r="Q36">
        <f>Timeline!W6</f>
        <v>2036</v>
      </c>
      <c r="R36">
        <f>Timeline!X6</f>
        <v>2037</v>
      </c>
      <c r="S36">
        <f>Timeline!Y6</f>
        <v>2038</v>
      </c>
      <c r="T36">
        <f>Timeline!Z6</f>
        <v>2039</v>
      </c>
      <c r="U36">
        <f>Timeline!AA6</f>
        <v>2040</v>
      </c>
      <c r="V36">
        <f>Timeline!AB6</f>
        <v>2041</v>
      </c>
      <c r="W36">
        <f>Timeline!AC6</f>
        <v>2042</v>
      </c>
      <c r="X36">
        <f>Timeline!AD6</f>
        <v>2043</v>
      </c>
      <c r="Y36">
        <f>Timeline!AE6</f>
        <v>2044</v>
      </c>
      <c r="Z36">
        <f>Timeline!AF6</f>
        <v>2045</v>
      </c>
      <c r="AA36">
        <f>Timeline!AG6</f>
        <v>2046</v>
      </c>
      <c r="AB36">
        <f>Timeline!AH6</f>
        <v>2047</v>
      </c>
      <c r="AC36">
        <f>Timeline!AI6</f>
        <v>2048</v>
      </c>
      <c r="AD36">
        <f>Timeline!AJ6</f>
        <v>2049</v>
      </c>
      <c r="AE36">
        <f>Timeline!AK6</f>
        <v>2050</v>
      </c>
      <c r="AF36">
        <f>Timeline!AL6</f>
        <v>2051</v>
      </c>
      <c r="AG36">
        <f>Timeline!AM6</f>
        <v>2052</v>
      </c>
      <c r="AH36">
        <f>Timeline!AN6</f>
        <v>2053</v>
      </c>
      <c r="AI36">
        <f>Timeline!AO6</f>
        <v>2054</v>
      </c>
      <c r="AJ36">
        <f>Timeline!AP6</f>
        <v>2055</v>
      </c>
      <c r="AK36">
        <f>Timeline!AQ6</f>
        <v>2056</v>
      </c>
      <c r="AL36">
        <f>Timeline!AR6</f>
        <v>2057</v>
      </c>
      <c r="AM36">
        <f>Timeline!AS6</f>
        <v>2058</v>
      </c>
      <c r="AN36">
        <f>Timeline!AT6</f>
        <v>2059</v>
      </c>
      <c r="AO36">
        <f>Timeline!AU6</f>
        <v>2060</v>
      </c>
      <c r="AP36">
        <f>Timeline!AV6</f>
        <v>2061</v>
      </c>
      <c r="AQ36">
        <f>Timeline!AW6</f>
        <v>2062</v>
      </c>
    </row>
    <row r="37" spans="1:43" ht="15">
      <c r="C37" s="116" t="str">
        <f>Timeline!I7</f>
        <v>Project Year</v>
      </c>
      <c r="D37">
        <f>Timeline!J7</f>
        <v>1</v>
      </c>
      <c r="E37">
        <f>Timeline!K7</f>
        <v>2</v>
      </c>
      <c r="F37">
        <f>Timeline!L7</f>
        <v>3</v>
      </c>
      <c r="G37">
        <f>Timeline!M7</f>
        <v>4</v>
      </c>
      <c r="H37">
        <f>Timeline!N7</f>
        <v>5</v>
      </c>
      <c r="I37">
        <f>Timeline!O7</f>
        <v>6</v>
      </c>
      <c r="J37">
        <f>Timeline!P7</f>
        <v>7</v>
      </c>
      <c r="K37">
        <f>Timeline!Q7</f>
        <v>8</v>
      </c>
      <c r="L37">
        <f>Timeline!R7</f>
        <v>9</v>
      </c>
      <c r="M37">
        <f>Timeline!S7</f>
        <v>10</v>
      </c>
      <c r="N37">
        <f>Timeline!T7</f>
        <v>11</v>
      </c>
      <c r="O37">
        <f>Timeline!U7</f>
        <v>12</v>
      </c>
      <c r="P37">
        <f>Timeline!V7</f>
        <v>13</v>
      </c>
      <c r="Q37">
        <f>Timeline!W7</f>
        <v>14</v>
      </c>
      <c r="R37">
        <f>Timeline!X7</f>
        <v>15</v>
      </c>
      <c r="S37">
        <f>Timeline!Y7</f>
        <v>16</v>
      </c>
      <c r="T37">
        <f>Timeline!Z7</f>
        <v>17</v>
      </c>
      <c r="U37">
        <f>Timeline!AA7</f>
        <v>18</v>
      </c>
      <c r="V37">
        <f>Timeline!AB7</f>
        <v>19</v>
      </c>
      <c r="W37">
        <f>Timeline!AC7</f>
        <v>20</v>
      </c>
      <c r="X37">
        <f>Timeline!AD7</f>
        <v>21</v>
      </c>
      <c r="Y37">
        <f>Timeline!AE7</f>
        <v>22</v>
      </c>
      <c r="Z37">
        <f>Timeline!AF7</f>
        <v>23</v>
      </c>
      <c r="AA37">
        <f>Timeline!AG7</f>
        <v>24</v>
      </c>
      <c r="AB37">
        <f>Timeline!AH7</f>
        <v>25</v>
      </c>
      <c r="AC37">
        <f>Timeline!AI7</f>
        <v>26</v>
      </c>
      <c r="AD37">
        <f>Timeline!AJ7</f>
        <v>27</v>
      </c>
      <c r="AE37">
        <f>Timeline!AK7</f>
        <v>28</v>
      </c>
      <c r="AF37">
        <f>Timeline!AL7</f>
        <v>29</v>
      </c>
      <c r="AG37">
        <f>Timeline!AM7</f>
        <v>30</v>
      </c>
      <c r="AH37">
        <f>Timeline!AN7</f>
        <v>31</v>
      </c>
      <c r="AI37">
        <f>Timeline!AO7</f>
        <v>32</v>
      </c>
      <c r="AJ37">
        <f>Timeline!AP7</f>
        <v>33</v>
      </c>
      <c r="AK37">
        <f>Timeline!AQ7</f>
        <v>34</v>
      </c>
      <c r="AL37">
        <f>Timeline!AR7</f>
        <v>35</v>
      </c>
      <c r="AM37">
        <f>Timeline!AS7</f>
        <v>36</v>
      </c>
      <c r="AN37">
        <f>Timeline!AT7</f>
        <v>37</v>
      </c>
      <c r="AO37">
        <f>Timeline!AU7</f>
        <v>38</v>
      </c>
      <c r="AP37">
        <f>Timeline!AV7</f>
        <v>39</v>
      </c>
      <c r="AQ37">
        <f>Timeline!AW7</f>
        <v>40</v>
      </c>
    </row>
    <row r="38" spans="1:43" ht="15">
      <c r="C38" s="116"/>
    </row>
    <row r="39" spans="1:43" ht="15">
      <c r="C39" s="14" t="s">
        <v>500</v>
      </c>
    </row>
    <row r="40" spans="1:43">
      <c r="C40" s="26" t="s">
        <v>501</v>
      </c>
      <c r="D40" s="99">
        <f>$D$9/Dashboard!$C$9</f>
        <v>29629.875</v>
      </c>
      <c r="E40" s="99">
        <f>$D$9/Dashboard!$C$9</f>
        <v>29629.875</v>
      </c>
      <c r="F40" s="99">
        <f>$D$9/Dashboard!$C$9</f>
        <v>29629.875</v>
      </c>
      <c r="G40" s="99">
        <f>$D$9/Dashboard!$C$9</f>
        <v>29629.875</v>
      </c>
      <c r="H40" s="99">
        <f>$D$9/Dashboard!$C$9</f>
        <v>29629.875</v>
      </c>
      <c r="I40" s="99">
        <f>$D$9/Dashboard!$C$9</f>
        <v>29629.875</v>
      </c>
      <c r="J40" s="99">
        <f>$D$9/Dashboard!$C$9</f>
        <v>29629.875</v>
      </c>
      <c r="K40" s="99">
        <f>$D$9/Dashboard!$C$9</f>
        <v>29629.875</v>
      </c>
      <c r="L40" s="99">
        <f>$D$9/Dashboard!$C$9</f>
        <v>29629.875</v>
      </c>
      <c r="M40" s="99">
        <f>$D$9/Dashboard!$C$9</f>
        <v>29629.875</v>
      </c>
      <c r="N40" s="99">
        <f>$D$9/Dashboard!$C$9</f>
        <v>29629.875</v>
      </c>
      <c r="O40" s="99">
        <f>$D$9/Dashboard!$C$9</f>
        <v>29629.875</v>
      </c>
      <c r="P40" s="99">
        <f>$D$9/Dashboard!$C$9</f>
        <v>29629.875</v>
      </c>
      <c r="Q40" s="99">
        <f>$D$9/Dashboard!$C$9</f>
        <v>29629.875</v>
      </c>
      <c r="R40" s="99">
        <f>$D$9/Dashboard!$C$9</f>
        <v>29629.875</v>
      </c>
      <c r="S40" s="99">
        <f>$D$9/Dashboard!$C$9</f>
        <v>29629.875</v>
      </c>
      <c r="T40" s="99">
        <f>$D$9/Dashboard!$C$9</f>
        <v>29629.875</v>
      </c>
      <c r="U40" s="99">
        <f>$D$9/Dashboard!$C$9</f>
        <v>29629.875</v>
      </c>
      <c r="V40" s="99">
        <f>$D$9/Dashboard!$C$9</f>
        <v>29629.875</v>
      </c>
      <c r="W40" s="99">
        <f>$D$9/Dashboard!$C$9</f>
        <v>29629.875</v>
      </c>
      <c r="X40" s="99">
        <f>$D$9/Dashboard!$C$9</f>
        <v>29629.875</v>
      </c>
      <c r="Y40" s="99">
        <f>$D$9/Dashboard!$C$9</f>
        <v>29629.875</v>
      </c>
      <c r="Z40" s="99">
        <f>$D$9/Dashboard!$C$9</f>
        <v>29629.875</v>
      </c>
      <c r="AA40" s="99">
        <f>$D$9/Dashboard!$C$9</f>
        <v>29629.875</v>
      </c>
      <c r="AB40" s="99">
        <f>$D$9/Dashboard!$C$9</f>
        <v>29629.875</v>
      </c>
      <c r="AC40" s="99">
        <f>$D$9/Dashboard!$C$9</f>
        <v>29629.875</v>
      </c>
      <c r="AD40" s="99">
        <f>$D$9/Dashboard!$C$9</f>
        <v>29629.875</v>
      </c>
      <c r="AE40" s="99">
        <f>$D$9/Dashboard!$C$9</f>
        <v>29629.875</v>
      </c>
      <c r="AF40" s="99">
        <f>$D$9/Dashboard!$C$9</f>
        <v>29629.875</v>
      </c>
      <c r="AG40" s="99">
        <f>$D$9/Dashboard!$C$9</f>
        <v>29629.875</v>
      </c>
      <c r="AH40" s="99">
        <f>$D$9/Dashboard!$C$9</f>
        <v>29629.875</v>
      </c>
      <c r="AI40" s="99">
        <f>$D$9/Dashboard!$C$9</f>
        <v>29629.875</v>
      </c>
      <c r="AJ40" s="99">
        <f>$D$9/Dashboard!$C$9</f>
        <v>29629.875</v>
      </c>
      <c r="AK40" s="99">
        <f>$D$9/Dashboard!$C$9</f>
        <v>29629.875</v>
      </c>
      <c r="AL40" s="99">
        <f>$D$9/Dashboard!$C$9</f>
        <v>29629.875</v>
      </c>
      <c r="AM40" s="99">
        <f>$D$9/Dashboard!$C$9</f>
        <v>29629.875</v>
      </c>
      <c r="AN40" s="99">
        <f>$D$9/Dashboard!$C$9</f>
        <v>29629.875</v>
      </c>
      <c r="AO40" s="99">
        <f>$D$9/Dashboard!$C$9</f>
        <v>29629.875</v>
      </c>
      <c r="AP40" s="99">
        <f>$D$9/Dashboard!$C$9</f>
        <v>29629.875</v>
      </c>
      <c r="AQ40" s="99">
        <f>$D$9/Dashboard!$C$9</f>
        <v>29629.875</v>
      </c>
    </row>
    <row r="41" spans="1:43">
      <c r="C41" s="26" t="s">
        <v>502</v>
      </c>
      <c r="D41" s="99">
        <f>$D$25</f>
        <v>29549.42932731926</v>
      </c>
      <c r="E41" s="99">
        <f t="shared" ref="E41:AQ41" si="0">$D$25</f>
        <v>29549.42932731926</v>
      </c>
      <c r="F41" s="99">
        <f t="shared" si="0"/>
        <v>29549.42932731926</v>
      </c>
      <c r="G41" s="99">
        <f t="shared" si="0"/>
        <v>29549.42932731926</v>
      </c>
      <c r="H41" s="99">
        <f t="shared" si="0"/>
        <v>29549.42932731926</v>
      </c>
      <c r="I41" s="99">
        <f t="shared" si="0"/>
        <v>29549.42932731926</v>
      </c>
      <c r="J41" s="99">
        <f t="shared" si="0"/>
        <v>29549.42932731926</v>
      </c>
      <c r="K41" s="99">
        <f t="shared" si="0"/>
        <v>29549.42932731926</v>
      </c>
      <c r="L41" s="99">
        <f t="shared" si="0"/>
        <v>29549.42932731926</v>
      </c>
      <c r="M41" s="99">
        <f t="shared" si="0"/>
        <v>29549.42932731926</v>
      </c>
      <c r="N41" s="99">
        <f t="shared" si="0"/>
        <v>29549.42932731926</v>
      </c>
      <c r="O41" s="99">
        <f t="shared" si="0"/>
        <v>29549.42932731926</v>
      </c>
      <c r="P41" s="99">
        <f t="shared" si="0"/>
        <v>29549.42932731926</v>
      </c>
      <c r="Q41" s="99">
        <f t="shared" si="0"/>
        <v>29549.42932731926</v>
      </c>
      <c r="R41" s="99">
        <f t="shared" si="0"/>
        <v>29549.42932731926</v>
      </c>
      <c r="S41" s="99">
        <f t="shared" si="0"/>
        <v>29549.42932731926</v>
      </c>
      <c r="T41" s="99">
        <f t="shared" si="0"/>
        <v>29549.42932731926</v>
      </c>
      <c r="U41" s="99">
        <f t="shared" si="0"/>
        <v>29549.42932731926</v>
      </c>
      <c r="V41" s="99">
        <f t="shared" si="0"/>
        <v>29549.42932731926</v>
      </c>
      <c r="W41" s="99">
        <f t="shared" si="0"/>
        <v>29549.42932731926</v>
      </c>
      <c r="X41" s="99">
        <f t="shared" si="0"/>
        <v>29549.42932731926</v>
      </c>
      <c r="Y41" s="99">
        <f t="shared" si="0"/>
        <v>29549.42932731926</v>
      </c>
      <c r="Z41" s="99">
        <f t="shared" si="0"/>
        <v>29549.42932731926</v>
      </c>
      <c r="AA41" s="99">
        <f t="shared" si="0"/>
        <v>29549.42932731926</v>
      </c>
      <c r="AB41" s="99">
        <f t="shared" si="0"/>
        <v>29549.42932731926</v>
      </c>
      <c r="AC41" s="99">
        <f t="shared" si="0"/>
        <v>29549.42932731926</v>
      </c>
      <c r="AD41" s="99">
        <f t="shared" si="0"/>
        <v>29549.42932731926</v>
      </c>
      <c r="AE41" s="99">
        <f t="shared" si="0"/>
        <v>29549.42932731926</v>
      </c>
      <c r="AF41" s="99">
        <f t="shared" si="0"/>
        <v>29549.42932731926</v>
      </c>
      <c r="AG41" s="99">
        <f t="shared" si="0"/>
        <v>29549.42932731926</v>
      </c>
      <c r="AH41" s="99">
        <f t="shared" si="0"/>
        <v>29549.42932731926</v>
      </c>
      <c r="AI41" s="99">
        <f t="shared" si="0"/>
        <v>29549.42932731926</v>
      </c>
      <c r="AJ41" s="99">
        <f t="shared" si="0"/>
        <v>29549.42932731926</v>
      </c>
      <c r="AK41" s="99">
        <f t="shared" si="0"/>
        <v>29549.42932731926</v>
      </c>
      <c r="AL41" s="99">
        <f t="shared" si="0"/>
        <v>29549.42932731926</v>
      </c>
      <c r="AM41" s="99">
        <f t="shared" si="0"/>
        <v>29549.42932731926</v>
      </c>
      <c r="AN41" s="99">
        <f t="shared" si="0"/>
        <v>29549.42932731926</v>
      </c>
      <c r="AO41" s="99">
        <f t="shared" si="0"/>
        <v>29549.42932731926</v>
      </c>
      <c r="AP41" s="99">
        <f t="shared" si="0"/>
        <v>29549.42932731926</v>
      </c>
      <c r="AQ41" s="99">
        <f t="shared" si="0"/>
        <v>29549.42932731926</v>
      </c>
    </row>
    <row r="42" spans="1:43">
      <c r="C42" s="26" t="s">
        <v>503</v>
      </c>
      <c r="D42" s="99">
        <f>$D$26</f>
        <v>10313.330235809466</v>
      </c>
      <c r="E42" s="99">
        <f t="shared" ref="E42:AQ42" si="1">$D$26</f>
        <v>10313.330235809466</v>
      </c>
      <c r="F42" s="99">
        <f t="shared" si="1"/>
        <v>10313.330235809466</v>
      </c>
      <c r="G42" s="99">
        <f t="shared" si="1"/>
        <v>10313.330235809466</v>
      </c>
      <c r="H42" s="99">
        <f t="shared" si="1"/>
        <v>10313.330235809466</v>
      </c>
      <c r="I42" s="99">
        <f t="shared" si="1"/>
        <v>10313.330235809466</v>
      </c>
      <c r="J42" s="99">
        <f t="shared" si="1"/>
        <v>10313.330235809466</v>
      </c>
      <c r="K42" s="99">
        <f t="shared" si="1"/>
        <v>10313.330235809466</v>
      </c>
      <c r="L42" s="99">
        <f t="shared" si="1"/>
        <v>10313.330235809466</v>
      </c>
      <c r="M42" s="99">
        <f t="shared" si="1"/>
        <v>10313.330235809466</v>
      </c>
      <c r="N42" s="99">
        <f t="shared" si="1"/>
        <v>10313.330235809466</v>
      </c>
      <c r="O42" s="99">
        <f t="shared" si="1"/>
        <v>10313.330235809466</v>
      </c>
      <c r="P42" s="99">
        <f t="shared" si="1"/>
        <v>10313.330235809466</v>
      </c>
      <c r="Q42" s="99">
        <f t="shared" si="1"/>
        <v>10313.330235809466</v>
      </c>
      <c r="R42" s="99">
        <f t="shared" si="1"/>
        <v>10313.330235809466</v>
      </c>
      <c r="S42" s="99">
        <f t="shared" si="1"/>
        <v>10313.330235809466</v>
      </c>
      <c r="T42" s="99">
        <f t="shared" si="1"/>
        <v>10313.330235809466</v>
      </c>
      <c r="U42" s="99">
        <f t="shared" si="1"/>
        <v>10313.330235809466</v>
      </c>
      <c r="V42" s="99">
        <f t="shared" si="1"/>
        <v>10313.330235809466</v>
      </c>
      <c r="W42" s="99">
        <f t="shared" si="1"/>
        <v>10313.330235809466</v>
      </c>
      <c r="X42" s="99">
        <f t="shared" si="1"/>
        <v>10313.330235809466</v>
      </c>
      <c r="Y42" s="99">
        <f t="shared" si="1"/>
        <v>10313.330235809466</v>
      </c>
      <c r="Z42" s="99">
        <f t="shared" si="1"/>
        <v>10313.330235809466</v>
      </c>
      <c r="AA42" s="99">
        <f t="shared" si="1"/>
        <v>10313.330235809466</v>
      </c>
      <c r="AB42" s="99">
        <f t="shared" si="1"/>
        <v>10313.330235809466</v>
      </c>
      <c r="AC42" s="99">
        <f t="shared" si="1"/>
        <v>10313.330235809466</v>
      </c>
      <c r="AD42" s="99">
        <f t="shared" si="1"/>
        <v>10313.330235809466</v>
      </c>
      <c r="AE42" s="99">
        <f t="shared" si="1"/>
        <v>10313.330235809466</v>
      </c>
      <c r="AF42" s="99">
        <f t="shared" si="1"/>
        <v>10313.330235809466</v>
      </c>
      <c r="AG42" s="99">
        <f t="shared" si="1"/>
        <v>10313.330235809466</v>
      </c>
      <c r="AH42" s="99">
        <f t="shared" si="1"/>
        <v>10313.330235809466</v>
      </c>
      <c r="AI42" s="99">
        <f t="shared" si="1"/>
        <v>10313.330235809466</v>
      </c>
      <c r="AJ42" s="99">
        <f t="shared" si="1"/>
        <v>10313.330235809466</v>
      </c>
      <c r="AK42" s="99">
        <f t="shared" si="1"/>
        <v>10313.330235809466</v>
      </c>
      <c r="AL42" s="99">
        <f t="shared" si="1"/>
        <v>10313.330235809466</v>
      </c>
      <c r="AM42" s="99">
        <f t="shared" si="1"/>
        <v>10313.330235809466</v>
      </c>
      <c r="AN42" s="99">
        <f t="shared" si="1"/>
        <v>10313.330235809466</v>
      </c>
      <c r="AO42" s="99">
        <f t="shared" si="1"/>
        <v>10313.330235809466</v>
      </c>
      <c r="AP42" s="99">
        <f t="shared" si="1"/>
        <v>10313.330235809466</v>
      </c>
      <c r="AQ42" s="99">
        <f t="shared" si="1"/>
        <v>10313.330235809466</v>
      </c>
    </row>
    <row r="43" spans="1:43">
      <c r="C43" s="26" t="s">
        <v>504</v>
      </c>
      <c r="D43" s="99">
        <f>D41+D40</f>
        <v>59179.30432731926</v>
      </c>
      <c r="E43" s="99">
        <f t="shared" ref="E43:AQ43" si="2">E41+E40</f>
        <v>59179.30432731926</v>
      </c>
      <c r="F43" s="99">
        <f t="shared" si="2"/>
        <v>59179.30432731926</v>
      </c>
      <c r="G43" s="99">
        <f t="shared" si="2"/>
        <v>59179.30432731926</v>
      </c>
      <c r="H43" s="99">
        <f t="shared" si="2"/>
        <v>59179.30432731926</v>
      </c>
      <c r="I43" s="99">
        <f t="shared" si="2"/>
        <v>59179.30432731926</v>
      </c>
      <c r="J43" s="99">
        <f t="shared" si="2"/>
        <v>59179.30432731926</v>
      </c>
      <c r="K43" s="99">
        <f t="shared" si="2"/>
        <v>59179.30432731926</v>
      </c>
      <c r="L43" s="99">
        <f t="shared" si="2"/>
        <v>59179.30432731926</v>
      </c>
      <c r="M43" s="99">
        <f t="shared" si="2"/>
        <v>59179.30432731926</v>
      </c>
      <c r="N43" s="99">
        <f t="shared" si="2"/>
        <v>59179.30432731926</v>
      </c>
      <c r="O43" s="99">
        <f t="shared" si="2"/>
        <v>59179.30432731926</v>
      </c>
      <c r="P43" s="99">
        <f t="shared" si="2"/>
        <v>59179.30432731926</v>
      </c>
      <c r="Q43" s="99">
        <f t="shared" si="2"/>
        <v>59179.30432731926</v>
      </c>
      <c r="R43" s="99">
        <f t="shared" si="2"/>
        <v>59179.30432731926</v>
      </c>
      <c r="S43" s="99">
        <f t="shared" si="2"/>
        <v>59179.30432731926</v>
      </c>
      <c r="T43" s="99">
        <f t="shared" si="2"/>
        <v>59179.30432731926</v>
      </c>
      <c r="U43" s="99">
        <f t="shared" si="2"/>
        <v>59179.30432731926</v>
      </c>
      <c r="V43" s="99">
        <f t="shared" si="2"/>
        <v>59179.30432731926</v>
      </c>
      <c r="W43" s="99">
        <f t="shared" si="2"/>
        <v>59179.30432731926</v>
      </c>
      <c r="X43" s="99">
        <f t="shared" si="2"/>
        <v>59179.30432731926</v>
      </c>
      <c r="Y43" s="99">
        <f t="shared" si="2"/>
        <v>59179.30432731926</v>
      </c>
      <c r="Z43" s="99">
        <f t="shared" si="2"/>
        <v>59179.30432731926</v>
      </c>
      <c r="AA43" s="99">
        <f t="shared" si="2"/>
        <v>59179.30432731926</v>
      </c>
      <c r="AB43" s="99">
        <f t="shared" si="2"/>
        <v>59179.30432731926</v>
      </c>
      <c r="AC43" s="99">
        <f t="shared" si="2"/>
        <v>59179.30432731926</v>
      </c>
      <c r="AD43" s="99">
        <f t="shared" si="2"/>
        <v>59179.30432731926</v>
      </c>
      <c r="AE43" s="99">
        <f t="shared" si="2"/>
        <v>59179.30432731926</v>
      </c>
      <c r="AF43" s="99">
        <f t="shared" si="2"/>
        <v>59179.30432731926</v>
      </c>
      <c r="AG43" s="99">
        <f t="shared" si="2"/>
        <v>59179.30432731926</v>
      </c>
      <c r="AH43" s="99">
        <f t="shared" si="2"/>
        <v>59179.30432731926</v>
      </c>
      <c r="AI43" s="99">
        <f t="shared" si="2"/>
        <v>59179.30432731926</v>
      </c>
      <c r="AJ43" s="99">
        <f t="shared" si="2"/>
        <v>59179.30432731926</v>
      </c>
      <c r="AK43" s="99">
        <f t="shared" si="2"/>
        <v>59179.30432731926</v>
      </c>
      <c r="AL43" s="99">
        <f t="shared" si="2"/>
        <v>59179.30432731926</v>
      </c>
      <c r="AM43" s="99">
        <f t="shared" si="2"/>
        <v>59179.30432731926</v>
      </c>
      <c r="AN43" s="99">
        <f t="shared" si="2"/>
        <v>59179.30432731926</v>
      </c>
      <c r="AO43" s="99">
        <f t="shared" si="2"/>
        <v>59179.30432731926</v>
      </c>
      <c r="AP43" s="99">
        <f t="shared" si="2"/>
        <v>59179.30432731926</v>
      </c>
      <c r="AQ43" s="99">
        <f t="shared" si="2"/>
        <v>59179.30432731926</v>
      </c>
    </row>
    <row r="44" spans="1:43">
      <c r="C44" s="26" t="s">
        <v>505</v>
      </c>
      <c r="D44" s="99">
        <f>D42+D40</f>
        <v>39943.205235809466</v>
      </c>
      <c r="E44" s="99">
        <f t="shared" ref="E44:AQ44" si="3">E42+E40</f>
        <v>39943.205235809466</v>
      </c>
      <c r="F44" s="99">
        <f t="shared" si="3"/>
        <v>39943.205235809466</v>
      </c>
      <c r="G44" s="99">
        <f t="shared" si="3"/>
        <v>39943.205235809466</v>
      </c>
      <c r="H44" s="99">
        <f t="shared" si="3"/>
        <v>39943.205235809466</v>
      </c>
      <c r="I44" s="99">
        <f t="shared" si="3"/>
        <v>39943.205235809466</v>
      </c>
      <c r="J44" s="99">
        <f t="shared" si="3"/>
        <v>39943.205235809466</v>
      </c>
      <c r="K44" s="99">
        <f t="shared" si="3"/>
        <v>39943.205235809466</v>
      </c>
      <c r="L44" s="99">
        <f t="shared" si="3"/>
        <v>39943.205235809466</v>
      </c>
      <c r="M44" s="99">
        <f t="shared" si="3"/>
        <v>39943.205235809466</v>
      </c>
      <c r="N44" s="99">
        <f t="shared" si="3"/>
        <v>39943.205235809466</v>
      </c>
      <c r="O44" s="99">
        <f t="shared" si="3"/>
        <v>39943.205235809466</v>
      </c>
      <c r="P44" s="99">
        <f t="shared" si="3"/>
        <v>39943.205235809466</v>
      </c>
      <c r="Q44" s="99">
        <f t="shared" si="3"/>
        <v>39943.205235809466</v>
      </c>
      <c r="R44" s="99">
        <f t="shared" si="3"/>
        <v>39943.205235809466</v>
      </c>
      <c r="S44" s="99">
        <f t="shared" si="3"/>
        <v>39943.205235809466</v>
      </c>
      <c r="T44" s="99">
        <f t="shared" si="3"/>
        <v>39943.205235809466</v>
      </c>
      <c r="U44" s="99">
        <f t="shared" si="3"/>
        <v>39943.205235809466</v>
      </c>
      <c r="V44" s="99">
        <f t="shared" si="3"/>
        <v>39943.205235809466</v>
      </c>
      <c r="W44" s="99">
        <f t="shared" si="3"/>
        <v>39943.205235809466</v>
      </c>
      <c r="X44" s="99">
        <f t="shared" si="3"/>
        <v>39943.205235809466</v>
      </c>
      <c r="Y44" s="99">
        <f t="shared" si="3"/>
        <v>39943.205235809466</v>
      </c>
      <c r="Z44" s="99">
        <f t="shared" si="3"/>
        <v>39943.205235809466</v>
      </c>
      <c r="AA44" s="99">
        <f t="shared" si="3"/>
        <v>39943.205235809466</v>
      </c>
      <c r="AB44" s="99">
        <f t="shared" si="3"/>
        <v>39943.205235809466</v>
      </c>
      <c r="AC44" s="99">
        <f t="shared" si="3"/>
        <v>39943.205235809466</v>
      </c>
      <c r="AD44" s="99">
        <f t="shared" si="3"/>
        <v>39943.205235809466</v>
      </c>
      <c r="AE44" s="99">
        <f t="shared" si="3"/>
        <v>39943.205235809466</v>
      </c>
      <c r="AF44" s="99">
        <f t="shared" si="3"/>
        <v>39943.205235809466</v>
      </c>
      <c r="AG44" s="99">
        <f t="shared" si="3"/>
        <v>39943.205235809466</v>
      </c>
      <c r="AH44" s="99">
        <f t="shared" si="3"/>
        <v>39943.205235809466</v>
      </c>
      <c r="AI44" s="99">
        <f t="shared" si="3"/>
        <v>39943.205235809466</v>
      </c>
      <c r="AJ44" s="99">
        <f t="shared" si="3"/>
        <v>39943.205235809466</v>
      </c>
      <c r="AK44" s="99">
        <f t="shared" si="3"/>
        <v>39943.205235809466</v>
      </c>
      <c r="AL44" s="99">
        <f t="shared" si="3"/>
        <v>39943.205235809466</v>
      </c>
      <c r="AM44" s="99">
        <f t="shared" si="3"/>
        <v>39943.205235809466</v>
      </c>
      <c r="AN44" s="99">
        <f t="shared" si="3"/>
        <v>39943.205235809466</v>
      </c>
      <c r="AO44" s="99">
        <f t="shared" si="3"/>
        <v>39943.205235809466</v>
      </c>
      <c r="AP44" s="99">
        <f t="shared" si="3"/>
        <v>39943.205235809466</v>
      </c>
      <c r="AQ44" s="99">
        <f t="shared" si="3"/>
        <v>39943.205235809466</v>
      </c>
    </row>
    <row r="45" spans="1:43">
      <c r="C45" s="26" t="s">
        <v>506</v>
      </c>
      <c r="D45" s="99">
        <f>D40+D41</f>
        <v>59179.30432731926</v>
      </c>
      <c r="E45" s="99">
        <f>E40+(E41*((1+$D$33)^(E37-1)))</f>
        <v>61247.764380231609</v>
      </c>
      <c r="F45" s="99">
        <f t="shared" ref="F45:AQ45" si="4">F40+(F41*((1+$D$33)^(F37-1)))</f>
        <v>63461.016636847824</v>
      </c>
      <c r="G45" s="99">
        <f t="shared" si="4"/>
        <v>65829.196551427172</v>
      </c>
      <c r="H45" s="99">
        <f t="shared" si="4"/>
        <v>68363.149060027063</v>
      </c>
      <c r="I45" s="99">
        <f t="shared" si="4"/>
        <v>71074.478244228972</v>
      </c>
      <c r="J45" s="99">
        <f t="shared" si="4"/>
        <v>73975.600471324986</v>
      </c>
      <c r="K45" s="99">
        <f t="shared" si="4"/>
        <v>77079.801254317746</v>
      </c>
      <c r="L45" s="99">
        <f t="shared" si="4"/>
        <v>80401.296092119985</v>
      </c>
      <c r="M45" s="99">
        <f t="shared" si="4"/>
        <v>83955.295568568399</v>
      </c>
      <c r="N45" s="99">
        <f t="shared" si="4"/>
        <v>87758.075008368178</v>
      </c>
      <c r="O45" s="99">
        <f t="shared" si="4"/>
        <v>91827.049008953967</v>
      </c>
      <c r="P45" s="99">
        <f t="shared" si="4"/>
        <v>96180.851189580717</v>
      </c>
      <c r="Q45" s="99">
        <f t="shared" si="4"/>
        <v>100839.41952285137</v>
      </c>
      <c r="R45" s="99">
        <f t="shared" si="4"/>
        <v>105824.08763945097</v>
      </c>
      <c r="S45" s="99">
        <f t="shared" si="4"/>
        <v>111157.68252421255</v>
      </c>
      <c r="T45" s="99">
        <f t="shared" si="4"/>
        <v>116864.62905090742</v>
      </c>
      <c r="U45" s="99">
        <f t="shared" si="4"/>
        <v>122971.06183447094</v>
      </c>
      <c r="V45" s="99">
        <f t="shared" si="4"/>
        <v>129504.9449128839</v>
      </c>
      <c r="W45" s="99">
        <f t="shared" si="4"/>
        <v>136496.19980678579</v>
      </c>
      <c r="X45" s="99">
        <f t="shared" si="4"/>
        <v>143976.84254326078</v>
      </c>
      <c r="Y45" s="99">
        <f t="shared" si="4"/>
        <v>151981.13027128903</v>
      </c>
      <c r="Z45" s="99">
        <f t="shared" si="4"/>
        <v>160545.71814027926</v>
      </c>
      <c r="AA45" s="99">
        <f t="shared" si="4"/>
        <v>169709.82716009882</v>
      </c>
      <c r="AB45" s="99">
        <f t="shared" si="4"/>
        <v>179515.42381130575</v>
      </c>
      <c r="AC45" s="99">
        <f t="shared" si="4"/>
        <v>190007.41222809715</v>
      </c>
      <c r="AD45" s="99">
        <f t="shared" si="4"/>
        <v>201233.83983406395</v>
      </c>
      <c r="AE45" s="99">
        <f t="shared" si="4"/>
        <v>213246.11737244847</v>
      </c>
      <c r="AF45" s="99">
        <f t="shared" si="4"/>
        <v>226099.25433851982</v>
      </c>
      <c r="AG45" s="99">
        <f t="shared" si="4"/>
        <v>239852.11089221621</v>
      </c>
      <c r="AH45" s="99">
        <f t="shared" si="4"/>
        <v>254567.66740467132</v>
      </c>
      <c r="AI45" s="99">
        <f t="shared" si="4"/>
        <v>270313.31287299836</v>
      </c>
      <c r="AJ45" s="99">
        <f t="shared" si="4"/>
        <v>287161.15352410823</v>
      </c>
      <c r="AK45" s="99">
        <f t="shared" si="4"/>
        <v>305188.34302079579</v>
      </c>
      <c r="AL45" s="99">
        <f t="shared" si="4"/>
        <v>324477.43578225147</v>
      </c>
      <c r="AM45" s="99">
        <f t="shared" si="4"/>
        <v>345116.76503700914</v>
      </c>
      <c r="AN45" s="99">
        <f t="shared" si="4"/>
        <v>367200.84733959974</v>
      </c>
      <c r="AO45" s="99">
        <f t="shared" si="4"/>
        <v>390830.81540337176</v>
      </c>
      <c r="AP45" s="99">
        <f t="shared" si="4"/>
        <v>416114.88123160781</v>
      </c>
      <c r="AQ45" s="99">
        <f t="shared" si="4"/>
        <v>443168.83166782034</v>
      </c>
    </row>
    <row r="46" spans="1:43">
      <c r="A46" s="1"/>
      <c r="C46" s="26" t="s">
        <v>507</v>
      </c>
      <c r="D46" s="99">
        <f>D40+D42</f>
        <v>39943.205235809466</v>
      </c>
      <c r="E46" s="99">
        <f>E40+(E42*((1+$D$33)^(E37-1)))</f>
        <v>40665.138352316128</v>
      </c>
      <c r="F46" s="99">
        <f t="shared" ref="F46:AQ46" si="5">F40+(F42*((1+$D$33)^(F37-1)))</f>
        <v>41437.606786978256</v>
      </c>
      <c r="G46" s="99">
        <f t="shared" si="5"/>
        <v>42264.14801206674</v>
      </c>
      <c r="H46" s="99">
        <f t="shared" si="5"/>
        <v>43148.547122911405</v>
      </c>
      <c r="I46" s="99">
        <f t="shared" si="5"/>
        <v>44094.85417151521</v>
      </c>
      <c r="J46" s="99">
        <f t="shared" si="5"/>
        <v>45107.402713521267</v>
      </c>
      <c r="K46" s="99">
        <f t="shared" si="5"/>
        <v>46190.829653467765</v>
      </c>
      <c r="L46" s="99">
        <f t="shared" si="5"/>
        <v>47350.096479210508</v>
      </c>
      <c r="M46" s="99">
        <f t="shared" si="5"/>
        <v>48590.511982755241</v>
      </c>
      <c r="N46" s="99">
        <f t="shared" si="5"/>
        <v>49917.756571548103</v>
      </c>
      <c r="O46" s="99">
        <f t="shared" si="5"/>
        <v>51337.908281556476</v>
      </c>
      <c r="P46" s="99">
        <f t="shared" si="5"/>
        <v>52857.470611265424</v>
      </c>
      <c r="Q46" s="99">
        <f t="shared" si="5"/>
        <v>54483.402304054005</v>
      </c>
      <c r="R46" s="99">
        <f t="shared" si="5"/>
        <v>56223.149215337791</v>
      </c>
      <c r="S46" s="99">
        <f t="shared" si="5"/>
        <v>58084.678410411434</v>
      </c>
      <c r="T46" s="99">
        <f t="shared" si="5"/>
        <v>60076.514649140227</v>
      </c>
      <c r="U46" s="99">
        <f t="shared" si="5"/>
        <v>62207.779424580047</v>
      </c>
      <c r="V46" s="99">
        <f t="shared" si="5"/>
        <v>64488.232734300655</v>
      </c>
      <c r="W46" s="99">
        <f t="shared" si="5"/>
        <v>66928.317775701697</v>
      </c>
      <c r="X46" s="99">
        <f t="shared" si="5"/>
        <v>69539.208770000812</v>
      </c>
      <c r="Y46" s="99">
        <f t="shared" si="5"/>
        <v>72332.862133900868</v>
      </c>
      <c r="Z46" s="99">
        <f t="shared" si="5"/>
        <v>75322.071233273935</v>
      </c>
      <c r="AA46" s="99">
        <f t="shared" si="5"/>
        <v>78520.52496960311</v>
      </c>
      <c r="AB46" s="99">
        <f t="shared" si="5"/>
        <v>81942.870467475324</v>
      </c>
      <c r="AC46" s="99">
        <f t="shared" si="5"/>
        <v>85604.78015019861</v>
      </c>
      <c r="AD46" s="99">
        <f t="shared" si="5"/>
        <v>89523.023510712505</v>
      </c>
      <c r="AE46" s="99">
        <f t="shared" si="5"/>
        <v>93715.543906462393</v>
      </c>
      <c r="AF46" s="99">
        <f t="shared" si="5"/>
        <v>98201.540729914748</v>
      </c>
      <c r="AG46" s="99">
        <f t="shared" si="5"/>
        <v>103001.55733100878</v>
      </c>
      <c r="AH46" s="99">
        <f t="shared" si="5"/>
        <v>108137.5750941794</v>
      </c>
      <c r="AI46" s="99">
        <f t="shared" si="5"/>
        <v>113633.11410077197</v>
      </c>
      <c r="AJ46" s="99">
        <f t="shared" si="5"/>
        <v>119513.34083782599</v>
      </c>
      <c r="AK46" s="99">
        <f t="shared" si="5"/>
        <v>125805.18344647382</v>
      </c>
      <c r="AL46" s="99">
        <f t="shared" si="5"/>
        <v>132537.45503772696</v>
      </c>
      <c r="AM46" s="99">
        <f t="shared" si="5"/>
        <v>139740.9856403679</v>
      </c>
      <c r="AN46" s="99">
        <f t="shared" si="5"/>
        <v>147448.76338519363</v>
      </c>
      <c r="AO46" s="99">
        <f t="shared" si="5"/>
        <v>155696.0855721572</v>
      </c>
      <c r="AP46" s="99">
        <f t="shared" si="5"/>
        <v>164520.7203122082</v>
      </c>
      <c r="AQ46" s="99">
        <f t="shared" si="5"/>
        <v>173963.07948406276</v>
      </c>
    </row>
    <row r="48" spans="1:43" ht="15">
      <c r="C48" s="239" t="s">
        <v>508</v>
      </c>
    </row>
    <row r="49" spans="2:43">
      <c r="C49" s="26" t="s">
        <v>509</v>
      </c>
      <c r="D49" s="99">
        <f>$D$13/Dashboard!$C$9</f>
        <v>83058.030000000013</v>
      </c>
      <c r="E49" s="99">
        <f>$D$13/Dashboard!$C$9</f>
        <v>83058.030000000013</v>
      </c>
      <c r="F49" s="99">
        <f>$D$13/Dashboard!$C$9</f>
        <v>83058.030000000013</v>
      </c>
      <c r="G49" s="99">
        <f>$D$13/Dashboard!$C$9</f>
        <v>83058.030000000013</v>
      </c>
      <c r="H49" s="99">
        <f>$D$13/Dashboard!$C$9</f>
        <v>83058.030000000013</v>
      </c>
      <c r="I49" s="99">
        <f>$D$13/Dashboard!$C$9</f>
        <v>83058.030000000013</v>
      </c>
      <c r="J49" s="99">
        <f>$D$13/Dashboard!$C$9</f>
        <v>83058.030000000013</v>
      </c>
      <c r="K49" s="99">
        <f>$D$13/Dashboard!$C$9</f>
        <v>83058.030000000013</v>
      </c>
      <c r="L49" s="99">
        <f>$D$13/Dashboard!$C$9</f>
        <v>83058.030000000013</v>
      </c>
      <c r="M49" s="99">
        <f>$D$13/Dashboard!$C$9</f>
        <v>83058.030000000013</v>
      </c>
      <c r="N49" s="99">
        <f>$D$13/Dashboard!$C$9</f>
        <v>83058.030000000013</v>
      </c>
      <c r="O49" s="99">
        <f>$D$13/Dashboard!$C$9</f>
        <v>83058.030000000013</v>
      </c>
      <c r="P49" s="99">
        <f>$D$13/Dashboard!$C$9</f>
        <v>83058.030000000013</v>
      </c>
      <c r="Q49" s="99">
        <f>$D$13/Dashboard!$C$9</f>
        <v>83058.030000000013</v>
      </c>
      <c r="R49" s="99">
        <f>$D$13/Dashboard!$C$9</f>
        <v>83058.030000000013</v>
      </c>
      <c r="S49" s="99">
        <f>$D$13/Dashboard!$C$9</f>
        <v>83058.030000000013</v>
      </c>
      <c r="T49" s="99">
        <f>$D$13/Dashboard!$C$9</f>
        <v>83058.030000000013</v>
      </c>
      <c r="U49" s="99">
        <f>$D$13/Dashboard!$C$9</f>
        <v>83058.030000000013</v>
      </c>
      <c r="V49" s="99">
        <f>$D$13/Dashboard!$C$9</f>
        <v>83058.030000000013</v>
      </c>
      <c r="W49" s="99">
        <f>$D$13/Dashboard!$C$9</f>
        <v>83058.030000000013</v>
      </c>
      <c r="X49" s="99">
        <f>$D$13/Dashboard!$C$9</f>
        <v>83058.030000000013</v>
      </c>
      <c r="Y49" s="99">
        <f>$D$13/Dashboard!$C$9</f>
        <v>83058.030000000013</v>
      </c>
      <c r="Z49" s="99">
        <f>$D$13/Dashboard!$C$9</f>
        <v>83058.030000000013</v>
      </c>
      <c r="AA49" s="99">
        <f>$D$13/Dashboard!$C$9</f>
        <v>83058.030000000013</v>
      </c>
      <c r="AB49" s="99">
        <f>$D$13/Dashboard!$C$9</f>
        <v>83058.030000000013</v>
      </c>
      <c r="AC49" s="99">
        <f>$D$13/Dashboard!$C$9</f>
        <v>83058.030000000013</v>
      </c>
      <c r="AD49" s="99">
        <f>$D$13/Dashboard!$C$9</f>
        <v>83058.030000000013</v>
      </c>
      <c r="AE49" s="99">
        <f>$D$13/Dashboard!$C$9</f>
        <v>83058.030000000013</v>
      </c>
      <c r="AF49" s="99">
        <f>$D$13/Dashboard!$C$9</f>
        <v>83058.030000000013</v>
      </c>
      <c r="AG49" s="99">
        <f>$D$13/Dashboard!$C$9</f>
        <v>83058.030000000013</v>
      </c>
      <c r="AH49" s="99">
        <f>$D$13/Dashboard!$C$9</f>
        <v>83058.030000000013</v>
      </c>
      <c r="AI49" s="99">
        <f>$D$13/Dashboard!$C$9</f>
        <v>83058.030000000013</v>
      </c>
      <c r="AJ49" s="99">
        <f>$D$13/Dashboard!$C$9</f>
        <v>83058.030000000013</v>
      </c>
      <c r="AK49" s="99">
        <f>$D$13/Dashboard!$C$9</f>
        <v>83058.030000000013</v>
      </c>
      <c r="AL49" s="99">
        <f>$D$13/Dashboard!$C$9</f>
        <v>83058.030000000013</v>
      </c>
      <c r="AM49" s="99">
        <f>$D$13/Dashboard!$C$9</f>
        <v>83058.030000000013</v>
      </c>
      <c r="AN49" s="99">
        <f>$D$13/Dashboard!$C$9</f>
        <v>83058.030000000013</v>
      </c>
      <c r="AO49" s="99">
        <f>$D$13/Dashboard!$C$9</f>
        <v>83058.030000000013</v>
      </c>
      <c r="AP49" s="99">
        <f>$D$13/Dashboard!$C$9</f>
        <v>83058.030000000013</v>
      </c>
      <c r="AQ49" s="99">
        <f>$D$13/Dashboard!$C$9</f>
        <v>83058.030000000013</v>
      </c>
    </row>
    <row r="50" spans="2:43">
      <c r="C50" s="26" t="s">
        <v>510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c r="AF50" s="99">
        <v>0</v>
      </c>
      <c r="AG50" s="99">
        <v>0</v>
      </c>
      <c r="AH50" s="99">
        <v>0</v>
      </c>
      <c r="AI50" s="99">
        <v>0</v>
      </c>
      <c r="AJ50" s="99">
        <v>0</v>
      </c>
      <c r="AK50" s="99">
        <v>0</v>
      </c>
      <c r="AL50" s="99">
        <v>0</v>
      </c>
      <c r="AM50" s="99">
        <v>0</v>
      </c>
      <c r="AN50" s="99">
        <v>0</v>
      </c>
      <c r="AO50" s="99">
        <v>0</v>
      </c>
      <c r="AP50" s="99">
        <v>0</v>
      </c>
      <c r="AQ50" s="99">
        <v>0</v>
      </c>
    </row>
    <row r="51" spans="2:43">
      <c r="C51" s="26" t="s">
        <v>511</v>
      </c>
      <c r="D51" s="99">
        <f>D50+D49</f>
        <v>83058.030000000013</v>
      </c>
      <c r="E51" s="99">
        <f t="shared" ref="E51:AQ51" si="6">E50+E49</f>
        <v>83058.030000000013</v>
      </c>
      <c r="F51" s="99">
        <f t="shared" si="6"/>
        <v>83058.030000000013</v>
      </c>
      <c r="G51" s="99">
        <f t="shared" si="6"/>
        <v>83058.030000000013</v>
      </c>
      <c r="H51" s="99">
        <f t="shared" si="6"/>
        <v>83058.030000000013</v>
      </c>
      <c r="I51" s="99">
        <f>I50+I49</f>
        <v>83058.030000000013</v>
      </c>
      <c r="J51" s="99">
        <f t="shared" si="6"/>
        <v>83058.030000000013</v>
      </c>
      <c r="K51" s="99">
        <f t="shared" si="6"/>
        <v>83058.030000000013</v>
      </c>
      <c r="L51" s="99">
        <f t="shared" si="6"/>
        <v>83058.030000000013</v>
      </c>
      <c r="M51" s="99">
        <f t="shared" si="6"/>
        <v>83058.030000000013</v>
      </c>
      <c r="N51" s="99">
        <f t="shared" si="6"/>
        <v>83058.030000000013</v>
      </c>
      <c r="O51" s="99">
        <f t="shared" si="6"/>
        <v>83058.030000000013</v>
      </c>
      <c r="P51" s="99">
        <f t="shared" si="6"/>
        <v>83058.030000000013</v>
      </c>
      <c r="Q51" s="99">
        <f t="shared" si="6"/>
        <v>83058.030000000013</v>
      </c>
      <c r="R51" s="99">
        <f t="shared" si="6"/>
        <v>83058.030000000013</v>
      </c>
      <c r="S51" s="99">
        <f t="shared" si="6"/>
        <v>83058.030000000013</v>
      </c>
      <c r="T51" s="99">
        <f t="shared" si="6"/>
        <v>83058.030000000013</v>
      </c>
      <c r="U51" s="99">
        <f t="shared" si="6"/>
        <v>83058.030000000013</v>
      </c>
      <c r="V51" s="99">
        <f t="shared" si="6"/>
        <v>83058.030000000013</v>
      </c>
      <c r="W51" s="99">
        <f t="shared" si="6"/>
        <v>83058.030000000013</v>
      </c>
      <c r="X51" s="99">
        <f t="shared" si="6"/>
        <v>83058.030000000013</v>
      </c>
      <c r="Y51" s="99">
        <f t="shared" si="6"/>
        <v>83058.030000000013</v>
      </c>
      <c r="Z51" s="99">
        <f t="shared" si="6"/>
        <v>83058.030000000013</v>
      </c>
      <c r="AA51" s="99">
        <f t="shared" si="6"/>
        <v>83058.030000000013</v>
      </c>
      <c r="AB51" s="99">
        <f t="shared" si="6"/>
        <v>83058.030000000013</v>
      </c>
      <c r="AC51" s="99">
        <f t="shared" si="6"/>
        <v>83058.030000000013</v>
      </c>
      <c r="AD51" s="99">
        <f t="shared" si="6"/>
        <v>83058.030000000013</v>
      </c>
      <c r="AE51" s="99">
        <f t="shared" si="6"/>
        <v>83058.030000000013</v>
      </c>
      <c r="AF51" s="99">
        <f t="shared" si="6"/>
        <v>83058.030000000013</v>
      </c>
      <c r="AG51" s="99">
        <f t="shared" si="6"/>
        <v>83058.030000000013</v>
      </c>
      <c r="AH51" s="99">
        <f t="shared" si="6"/>
        <v>83058.030000000013</v>
      </c>
      <c r="AI51" s="99">
        <f t="shared" si="6"/>
        <v>83058.030000000013</v>
      </c>
      <c r="AJ51" s="99">
        <f t="shared" si="6"/>
        <v>83058.030000000013</v>
      </c>
      <c r="AK51" s="99">
        <f t="shared" si="6"/>
        <v>83058.030000000013</v>
      </c>
      <c r="AL51" s="99">
        <f t="shared" si="6"/>
        <v>83058.030000000013</v>
      </c>
      <c r="AM51" s="99">
        <f t="shared" si="6"/>
        <v>83058.030000000013</v>
      </c>
      <c r="AN51" s="99">
        <f t="shared" si="6"/>
        <v>83058.030000000013</v>
      </c>
      <c r="AO51" s="99">
        <f t="shared" si="6"/>
        <v>83058.030000000013</v>
      </c>
      <c r="AP51" s="99">
        <f t="shared" si="6"/>
        <v>83058.030000000013</v>
      </c>
      <c r="AQ51" s="99">
        <f t="shared" si="6"/>
        <v>83058.030000000013</v>
      </c>
    </row>
    <row r="52" spans="2:43">
      <c r="C52" s="26"/>
      <c r="D52" s="99"/>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row>
    <row r="53" spans="2:43" ht="15">
      <c r="C53" s="239" t="s">
        <v>512</v>
      </c>
    </row>
    <row r="54" spans="2:43">
      <c r="C54" s="26" t="s">
        <v>513</v>
      </c>
      <c r="D54" s="99">
        <f>D43-D51</f>
        <v>-23878.725672680754</v>
      </c>
      <c r="E54" s="99">
        <f t="shared" ref="E54:AQ54" si="7">E43-E51</f>
        <v>-23878.725672680754</v>
      </c>
      <c r="F54" s="99">
        <f t="shared" si="7"/>
        <v>-23878.725672680754</v>
      </c>
      <c r="G54" s="99">
        <f t="shared" si="7"/>
        <v>-23878.725672680754</v>
      </c>
      <c r="H54" s="99">
        <f t="shared" si="7"/>
        <v>-23878.725672680754</v>
      </c>
      <c r="I54" s="99">
        <f t="shared" si="7"/>
        <v>-23878.725672680754</v>
      </c>
      <c r="J54" s="99">
        <f t="shared" si="7"/>
        <v>-23878.725672680754</v>
      </c>
      <c r="K54" s="99">
        <f t="shared" si="7"/>
        <v>-23878.725672680754</v>
      </c>
      <c r="L54" s="99">
        <f t="shared" si="7"/>
        <v>-23878.725672680754</v>
      </c>
      <c r="M54" s="99">
        <f t="shared" si="7"/>
        <v>-23878.725672680754</v>
      </c>
      <c r="N54" s="99">
        <f t="shared" si="7"/>
        <v>-23878.725672680754</v>
      </c>
      <c r="O54" s="99">
        <f t="shared" si="7"/>
        <v>-23878.725672680754</v>
      </c>
      <c r="P54" s="99">
        <f t="shared" si="7"/>
        <v>-23878.725672680754</v>
      </c>
      <c r="Q54" s="99">
        <f t="shared" si="7"/>
        <v>-23878.725672680754</v>
      </c>
      <c r="R54" s="99">
        <f t="shared" si="7"/>
        <v>-23878.725672680754</v>
      </c>
      <c r="S54" s="99">
        <f t="shared" si="7"/>
        <v>-23878.725672680754</v>
      </c>
      <c r="T54" s="99">
        <f t="shared" si="7"/>
        <v>-23878.725672680754</v>
      </c>
      <c r="U54" s="99">
        <f t="shared" si="7"/>
        <v>-23878.725672680754</v>
      </c>
      <c r="V54" s="99">
        <f t="shared" si="7"/>
        <v>-23878.725672680754</v>
      </c>
      <c r="W54" s="99">
        <f t="shared" si="7"/>
        <v>-23878.725672680754</v>
      </c>
      <c r="X54" s="99">
        <f t="shared" si="7"/>
        <v>-23878.725672680754</v>
      </c>
      <c r="Y54" s="99">
        <f t="shared" si="7"/>
        <v>-23878.725672680754</v>
      </c>
      <c r="Z54" s="99">
        <f t="shared" si="7"/>
        <v>-23878.725672680754</v>
      </c>
      <c r="AA54" s="99">
        <f t="shared" si="7"/>
        <v>-23878.725672680754</v>
      </c>
      <c r="AB54" s="99">
        <f t="shared" si="7"/>
        <v>-23878.725672680754</v>
      </c>
      <c r="AC54" s="99">
        <f t="shared" si="7"/>
        <v>-23878.725672680754</v>
      </c>
      <c r="AD54" s="99">
        <f t="shared" si="7"/>
        <v>-23878.725672680754</v>
      </c>
      <c r="AE54" s="99">
        <f t="shared" si="7"/>
        <v>-23878.725672680754</v>
      </c>
      <c r="AF54" s="99">
        <f t="shared" si="7"/>
        <v>-23878.725672680754</v>
      </c>
      <c r="AG54" s="99">
        <f t="shared" si="7"/>
        <v>-23878.725672680754</v>
      </c>
      <c r="AH54" s="99">
        <f t="shared" si="7"/>
        <v>-23878.725672680754</v>
      </c>
      <c r="AI54" s="99">
        <f t="shared" si="7"/>
        <v>-23878.725672680754</v>
      </c>
      <c r="AJ54" s="99">
        <f t="shared" si="7"/>
        <v>-23878.725672680754</v>
      </c>
      <c r="AK54" s="99">
        <f t="shared" si="7"/>
        <v>-23878.725672680754</v>
      </c>
      <c r="AL54" s="99">
        <f t="shared" si="7"/>
        <v>-23878.725672680754</v>
      </c>
      <c r="AM54" s="99">
        <f t="shared" si="7"/>
        <v>-23878.725672680754</v>
      </c>
      <c r="AN54" s="99">
        <f t="shared" si="7"/>
        <v>-23878.725672680754</v>
      </c>
      <c r="AO54" s="99">
        <f t="shared" si="7"/>
        <v>-23878.725672680754</v>
      </c>
      <c r="AP54" s="99">
        <f t="shared" si="7"/>
        <v>-23878.725672680754</v>
      </c>
      <c r="AQ54" s="99">
        <f t="shared" si="7"/>
        <v>-23878.725672680754</v>
      </c>
    </row>
    <row r="55" spans="2:43">
      <c r="C55" s="26" t="s">
        <v>514</v>
      </c>
      <c r="D55" s="99">
        <f>D44-D51</f>
        <v>-43114.824764190547</v>
      </c>
      <c r="E55" s="99">
        <f t="shared" ref="E55:AQ55" si="8">E44-E51</f>
        <v>-43114.824764190547</v>
      </c>
      <c r="F55" s="99">
        <f t="shared" si="8"/>
        <v>-43114.824764190547</v>
      </c>
      <c r="G55" s="99">
        <f t="shared" si="8"/>
        <v>-43114.824764190547</v>
      </c>
      <c r="H55" s="99">
        <f t="shared" si="8"/>
        <v>-43114.824764190547</v>
      </c>
      <c r="I55" s="99">
        <f t="shared" si="8"/>
        <v>-43114.824764190547</v>
      </c>
      <c r="J55" s="99">
        <f t="shared" si="8"/>
        <v>-43114.824764190547</v>
      </c>
      <c r="K55" s="99">
        <f t="shared" si="8"/>
        <v>-43114.824764190547</v>
      </c>
      <c r="L55" s="99">
        <f t="shared" si="8"/>
        <v>-43114.824764190547</v>
      </c>
      <c r="M55" s="99">
        <f t="shared" si="8"/>
        <v>-43114.824764190547</v>
      </c>
      <c r="N55" s="99">
        <f t="shared" si="8"/>
        <v>-43114.824764190547</v>
      </c>
      <c r="O55" s="99">
        <f t="shared" si="8"/>
        <v>-43114.824764190547</v>
      </c>
      <c r="P55" s="99">
        <f t="shared" si="8"/>
        <v>-43114.824764190547</v>
      </c>
      <c r="Q55" s="99">
        <f t="shared" si="8"/>
        <v>-43114.824764190547</v>
      </c>
      <c r="R55" s="99">
        <f t="shared" si="8"/>
        <v>-43114.824764190547</v>
      </c>
      <c r="S55" s="99">
        <f t="shared" si="8"/>
        <v>-43114.824764190547</v>
      </c>
      <c r="T55" s="99">
        <f t="shared" si="8"/>
        <v>-43114.824764190547</v>
      </c>
      <c r="U55" s="99">
        <f t="shared" si="8"/>
        <v>-43114.824764190547</v>
      </c>
      <c r="V55" s="99">
        <f t="shared" si="8"/>
        <v>-43114.824764190547</v>
      </c>
      <c r="W55" s="99">
        <f t="shared" si="8"/>
        <v>-43114.824764190547</v>
      </c>
      <c r="X55" s="99">
        <f t="shared" si="8"/>
        <v>-43114.824764190547</v>
      </c>
      <c r="Y55" s="99">
        <f t="shared" si="8"/>
        <v>-43114.824764190547</v>
      </c>
      <c r="Z55" s="99">
        <f t="shared" si="8"/>
        <v>-43114.824764190547</v>
      </c>
      <c r="AA55" s="99">
        <f t="shared" si="8"/>
        <v>-43114.824764190547</v>
      </c>
      <c r="AB55" s="99">
        <f t="shared" si="8"/>
        <v>-43114.824764190547</v>
      </c>
      <c r="AC55" s="99">
        <f t="shared" si="8"/>
        <v>-43114.824764190547</v>
      </c>
      <c r="AD55" s="99">
        <f t="shared" si="8"/>
        <v>-43114.824764190547</v>
      </c>
      <c r="AE55" s="99">
        <f t="shared" si="8"/>
        <v>-43114.824764190547</v>
      </c>
      <c r="AF55" s="99">
        <f t="shared" si="8"/>
        <v>-43114.824764190547</v>
      </c>
      <c r="AG55" s="99">
        <f t="shared" si="8"/>
        <v>-43114.824764190547</v>
      </c>
      <c r="AH55" s="99">
        <f t="shared" si="8"/>
        <v>-43114.824764190547</v>
      </c>
      <c r="AI55" s="99">
        <f t="shared" si="8"/>
        <v>-43114.824764190547</v>
      </c>
      <c r="AJ55" s="99">
        <f t="shared" si="8"/>
        <v>-43114.824764190547</v>
      </c>
      <c r="AK55" s="99">
        <f t="shared" si="8"/>
        <v>-43114.824764190547</v>
      </c>
      <c r="AL55" s="99">
        <f t="shared" si="8"/>
        <v>-43114.824764190547</v>
      </c>
      <c r="AM55" s="99">
        <f t="shared" si="8"/>
        <v>-43114.824764190547</v>
      </c>
      <c r="AN55" s="99">
        <f t="shared" si="8"/>
        <v>-43114.824764190547</v>
      </c>
      <c r="AO55" s="99">
        <f t="shared" si="8"/>
        <v>-43114.824764190547</v>
      </c>
      <c r="AP55" s="99">
        <f t="shared" si="8"/>
        <v>-43114.824764190547</v>
      </c>
      <c r="AQ55" s="99">
        <f t="shared" si="8"/>
        <v>-43114.824764190547</v>
      </c>
    </row>
    <row r="56" spans="2:43">
      <c r="C56" s="26" t="s">
        <v>515</v>
      </c>
      <c r="D56" s="99">
        <f>D45-D51</f>
        <v>-23878.725672680754</v>
      </c>
      <c r="E56" s="99">
        <f t="shared" ref="E56:AQ56" si="9">E45-E51</f>
        <v>-21810.265619768405</v>
      </c>
      <c r="F56" s="99">
        <f t="shared" si="9"/>
        <v>-19597.013363152189</v>
      </c>
      <c r="G56" s="99">
        <f t="shared" si="9"/>
        <v>-17228.833448572841</v>
      </c>
      <c r="H56" s="99">
        <f t="shared" si="9"/>
        <v>-14694.880939972951</v>
      </c>
      <c r="I56" s="99">
        <f>I45-I51</f>
        <v>-11983.551755771041</v>
      </c>
      <c r="J56" s="99">
        <f t="shared" si="9"/>
        <v>-9082.4295286750275</v>
      </c>
      <c r="K56" s="99">
        <f t="shared" si="9"/>
        <v>-5978.2287456822669</v>
      </c>
      <c r="L56" s="99">
        <f t="shared" si="9"/>
        <v>-2656.7339078800287</v>
      </c>
      <c r="M56" s="99">
        <f t="shared" si="9"/>
        <v>897.26556856838579</v>
      </c>
      <c r="N56" s="99">
        <f t="shared" si="9"/>
        <v>4700.0450083681644</v>
      </c>
      <c r="O56" s="99">
        <f t="shared" si="9"/>
        <v>8769.0190089539537</v>
      </c>
      <c r="P56" s="99">
        <f t="shared" si="9"/>
        <v>13122.821189580704</v>
      </c>
      <c r="Q56" s="99">
        <f t="shared" si="9"/>
        <v>17781.389522851357</v>
      </c>
      <c r="R56" s="99">
        <f t="shared" si="9"/>
        <v>22766.057639450955</v>
      </c>
      <c r="S56" s="99">
        <f t="shared" si="9"/>
        <v>28099.652524212535</v>
      </c>
      <c r="T56" s="99">
        <f t="shared" si="9"/>
        <v>33806.599050907404</v>
      </c>
      <c r="U56" s="99">
        <f t="shared" si="9"/>
        <v>39913.031834470923</v>
      </c>
      <c r="V56" s="99">
        <f t="shared" si="9"/>
        <v>46446.914912883891</v>
      </c>
      <c r="W56" s="99">
        <f t="shared" si="9"/>
        <v>53438.16980678578</v>
      </c>
      <c r="X56" s="99">
        <f t="shared" si="9"/>
        <v>60918.812543260763</v>
      </c>
      <c r="Y56" s="99">
        <f t="shared" si="9"/>
        <v>68923.100271289019</v>
      </c>
      <c r="Z56" s="99">
        <f t="shared" si="9"/>
        <v>77487.68814027925</v>
      </c>
      <c r="AA56" s="99">
        <f t="shared" si="9"/>
        <v>86651.797160098809</v>
      </c>
      <c r="AB56" s="99">
        <f t="shared" si="9"/>
        <v>96457.393811305737</v>
      </c>
      <c r="AC56" s="99">
        <f t="shared" si="9"/>
        <v>106949.38222809714</v>
      </c>
      <c r="AD56" s="99">
        <f t="shared" si="9"/>
        <v>118175.80983406394</v>
      </c>
      <c r="AE56" s="99">
        <f t="shared" si="9"/>
        <v>130188.08737244846</v>
      </c>
      <c r="AF56" s="99">
        <f t="shared" si="9"/>
        <v>143041.22433851979</v>
      </c>
      <c r="AG56" s="99">
        <f t="shared" si="9"/>
        <v>156794.08089221618</v>
      </c>
      <c r="AH56" s="99">
        <f t="shared" si="9"/>
        <v>171509.63740467129</v>
      </c>
      <c r="AI56" s="99">
        <f t="shared" si="9"/>
        <v>187255.28287299833</v>
      </c>
      <c r="AJ56" s="99">
        <f t="shared" si="9"/>
        <v>204103.1235241082</v>
      </c>
      <c r="AK56" s="99">
        <f t="shared" si="9"/>
        <v>222130.31302079576</v>
      </c>
      <c r="AL56" s="99">
        <f t="shared" si="9"/>
        <v>241419.40578225144</v>
      </c>
      <c r="AM56" s="99">
        <f t="shared" si="9"/>
        <v>262058.73503700912</v>
      </c>
      <c r="AN56" s="99">
        <f t="shared" si="9"/>
        <v>284142.81733959971</v>
      </c>
      <c r="AO56" s="99">
        <f t="shared" si="9"/>
        <v>307772.78540337173</v>
      </c>
      <c r="AP56" s="99">
        <f t="shared" si="9"/>
        <v>333056.85123160778</v>
      </c>
      <c r="AQ56" s="99">
        <f t="shared" si="9"/>
        <v>360110.80166782031</v>
      </c>
    </row>
    <row r="57" spans="2:43">
      <c r="C57" s="26" t="s">
        <v>516</v>
      </c>
      <c r="D57" s="99">
        <f>D46-D51</f>
        <v>-43114.824764190547</v>
      </c>
      <c r="E57" s="99">
        <f t="shared" ref="E57:AQ57" si="10">E46-E51</f>
        <v>-42392.891647683886</v>
      </c>
      <c r="F57" s="99">
        <f t="shared" si="10"/>
        <v>-41620.423213021757</v>
      </c>
      <c r="G57" s="99">
        <f t="shared" si="10"/>
        <v>-40793.881987933273</v>
      </c>
      <c r="H57" s="99">
        <f t="shared" si="10"/>
        <v>-39909.482877088609</v>
      </c>
      <c r="I57" s="99">
        <f t="shared" si="10"/>
        <v>-38963.175828484804</v>
      </c>
      <c r="J57" s="99">
        <f t="shared" si="10"/>
        <v>-37950.627286478746</v>
      </c>
      <c r="K57" s="99">
        <f t="shared" si="10"/>
        <v>-36867.200346532249</v>
      </c>
      <c r="L57" s="99">
        <f t="shared" si="10"/>
        <v>-35707.933520789506</v>
      </c>
      <c r="M57" s="99">
        <f t="shared" si="10"/>
        <v>-34467.518017244773</v>
      </c>
      <c r="N57" s="99">
        <f t="shared" si="10"/>
        <v>-33140.27342845191</v>
      </c>
      <c r="O57" s="99">
        <f t="shared" si="10"/>
        <v>-31720.121718443537</v>
      </c>
      <c r="P57" s="99">
        <f t="shared" si="10"/>
        <v>-30200.559388734589</v>
      </c>
      <c r="Q57" s="99">
        <f t="shared" si="10"/>
        <v>-28574.627695946008</v>
      </c>
      <c r="R57" s="99">
        <f t="shared" si="10"/>
        <v>-26834.880784662222</v>
      </c>
      <c r="S57" s="99">
        <f t="shared" si="10"/>
        <v>-24973.351589588579</v>
      </c>
      <c r="T57" s="99">
        <f t="shared" si="10"/>
        <v>-22981.515350859787</v>
      </c>
      <c r="U57" s="99">
        <f t="shared" si="10"/>
        <v>-20850.250575419966</v>
      </c>
      <c r="V57" s="99">
        <f t="shared" si="10"/>
        <v>-18569.797265699359</v>
      </c>
      <c r="W57" s="99">
        <f t="shared" si="10"/>
        <v>-16129.712224298317</v>
      </c>
      <c r="X57" s="99">
        <f t="shared" si="10"/>
        <v>-13518.821229999201</v>
      </c>
      <c r="Y57" s="99">
        <f t="shared" si="10"/>
        <v>-10725.167866099146</v>
      </c>
      <c r="Z57" s="99">
        <f t="shared" si="10"/>
        <v>-7735.9587667260785</v>
      </c>
      <c r="AA57" s="99">
        <f t="shared" si="10"/>
        <v>-4537.5050303969037</v>
      </c>
      <c r="AB57" s="99">
        <f t="shared" si="10"/>
        <v>-1115.159532524689</v>
      </c>
      <c r="AC57" s="99">
        <f t="shared" si="10"/>
        <v>2546.7501501985971</v>
      </c>
      <c r="AD57" s="99">
        <f t="shared" si="10"/>
        <v>6464.9935107124911</v>
      </c>
      <c r="AE57" s="99">
        <f t="shared" si="10"/>
        <v>10657.51390646238</v>
      </c>
      <c r="AF57" s="99">
        <f t="shared" si="10"/>
        <v>15143.510729914735</v>
      </c>
      <c r="AG57" s="99">
        <f t="shared" si="10"/>
        <v>19943.527331008765</v>
      </c>
      <c r="AH57" s="99">
        <f t="shared" si="10"/>
        <v>25079.545094179382</v>
      </c>
      <c r="AI57" s="99">
        <f t="shared" si="10"/>
        <v>30575.084100771957</v>
      </c>
      <c r="AJ57" s="99">
        <f t="shared" si="10"/>
        <v>36455.310837825979</v>
      </c>
      <c r="AK57" s="99">
        <f t="shared" si="10"/>
        <v>42747.153446473807</v>
      </c>
      <c r="AL57" s="99">
        <f t="shared" si="10"/>
        <v>49479.425037726949</v>
      </c>
      <c r="AM57" s="99">
        <f t="shared" si="10"/>
        <v>56682.955640367887</v>
      </c>
      <c r="AN57" s="99">
        <f t="shared" si="10"/>
        <v>64390.733385193613</v>
      </c>
      <c r="AO57" s="99">
        <f t="shared" si="10"/>
        <v>72638.055572157187</v>
      </c>
      <c r="AP57" s="99">
        <f t="shared" si="10"/>
        <v>81462.690312208186</v>
      </c>
      <c r="AQ57" s="99">
        <f t="shared" si="10"/>
        <v>90905.049484062751</v>
      </c>
    </row>
    <row r="59" spans="2:43">
      <c r="B59" s="256">
        <v>7.4999999999999997E-2</v>
      </c>
      <c r="C59" t="s">
        <v>462</v>
      </c>
      <c r="D59" s="254">
        <f>(1+$B$59)^D$37</f>
        <v>1.075</v>
      </c>
      <c r="E59" s="254">
        <f t="shared" ref="E59:AQ59" si="11">(1+$B$59)^E$37</f>
        <v>1.1556249999999999</v>
      </c>
      <c r="F59" s="254">
        <f t="shared" si="11"/>
        <v>1.2422968749999999</v>
      </c>
      <c r="G59" s="254">
        <f t="shared" si="11"/>
        <v>1.3354691406249999</v>
      </c>
      <c r="H59" s="254">
        <f t="shared" si="11"/>
        <v>1.4356293261718749</v>
      </c>
      <c r="I59" s="254">
        <f t="shared" si="11"/>
        <v>1.5433015256347653</v>
      </c>
      <c r="J59" s="254">
        <f t="shared" si="11"/>
        <v>1.6590491400573728</v>
      </c>
      <c r="K59" s="254">
        <f t="shared" si="11"/>
        <v>1.7834778255616757</v>
      </c>
      <c r="L59" s="254">
        <f t="shared" si="11"/>
        <v>1.9172386624788014</v>
      </c>
      <c r="M59" s="254">
        <f t="shared" si="11"/>
        <v>2.0610315621647111</v>
      </c>
      <c r="N59" s="254">
        <f t="shared" si="11"/>
        <v>2.2156089293270647</v>
      </c>
      <c r="O59" s="254">
        <f t="shared" si="11"/>
        <v>2.3817795990265944</v>
      </c>
      <c r="P59" s="254">
        <f t="shared" si="11"/>
        <v>2.5604130689535891</v>
      </c>
      <c r="Q59" s="254">
        <f t="shared" si="11"/>
        <v>2.7524440491251081</v>
      </c>
      <c r="R59" s="254">
        <f t="shared" si="11"/>
        <v>2.9588773528094912</v>
      </c>
      <c r="S59" s="254">
        <f t="shared" si="11"/>
        <v>3.1807931542702028</v>
      </c>
      <c r="T59" s="254">
        <f t="shared" si="11"/>
        <v>3.4193526408404677</v>
      </c>
      <c r="U59" s="254">
        <f t="shared" si="11"/>
        <v>3.6758040889035026</v>
      </c>
      <c r="V59" s="254">
        <f t="shared" si="11"/>
        <v>3.9514893955712656</v>
      </c>
      <c r="W59" s="254">
        <f t="shared" si="11"/>
        <v>4.2478511002391102</v>
      </c>
      <c r="X59" s="254">
        <f t="shared" si="11"/>
        <v>4.566439932757044</v>
      </c>
      <c r="Y59" s="254">
        <f t="shared" si="11"/>
        <v>4.9089229277138218</v>
      </c>
      <c r="Z59" s="254">
        <f t="shared" si="11"/>
        <v>5.2770921472923584</v>
      </c>
      <c r="AA59" s="254">
        <f t="shared" si="11"/>
        <v>5.6728740583392847</v>
      </c>
      <c r="AB59" s="254">
        <f t="shared" si="11"/>
        <v>6.0983396127147316</v>
      </c>
      <c r="AC59" s="254">
        <f t="shared" si="11"/>
        <v>6.5557150836683347</v>
      </c>
      <c r="AD59" s="254">
        <f t="shared" si="11"/>
        <v>7.0473937149434605</v>
      </c>
      <c r="AE59" s="254">
        <f t="shared" si="11"/>
        <v>7.5759482435642198</v>
      </c>
      <c r="AF59" s="254">
        <f t="shared" si="11"/>
        <v>8.1441443618315379</v>
      </c>
      <c r="AG59" s="254">
        <f t="shared" si="11"/>
        <v>8.7549551889689017</v>
      </c>
      <c r="AH59" s="254">
        <f t="shared" si="11"/>
        <v>9.4115768281415697</v>
      </c>
      <c r="AI59" s="254">
        <f t="shared" si="11"/>
        <v>10.117445090252186</v>
      </c>
      <c r="AJ59" s="254">
        <f t="shared" si="11"/>
        <v>10.8762534720211</v>
      </c>
      <c r="AK59" s="254">
        <f t="shared" si="11"/>
        <v>11.691972482422681</v>
      </c>
      <c r="AL59" s="254">
        <f t="shared" si="11"/>
        <v>12.568870418604382</v>
      </c>
      <c r="AM59" s="254">
        <f t="shared" si="11"/>
        <v>13.511535699999712</v>
      </c>
      <c r="AN59" s="254">
        <f t="shared" si="11"/>
        <v>14.524900877499689</v>
      </c>
      <c r="AO59" s="254">
        <f t="shared" si="11"/>
        <v>15.614268443312165</v>
      </c>
      <c r="AP59" s="254">
        <f t="shared" si="11"/>
        <v>16.785338576560576</v>
      </c>
      <c r="AQ59" s="254">
        <f t="shared" si="11"/>
        <v>18.04423896980262</v>
      </c>
    </row>
    <row r="60" spans="2:43">
      <c r="C60" s="12" t="s">
        <v>463</v>
      </c>
    </row>
    <row r="61" spans="2:43">
      <c r="C61" s="26"/>
      <c r="D61" s="99"/>
      <c r="E61" s="99"/>
      <c r="F61" s="99"/>
      <c r="G61" s="99"/>
      <c r="H61" s="99"/>
      <c r="I61" s="99"/>
      <c r="J61" s="99"/>
      <c r="K61" s="99"/>
      <c r="L61" s="99"/>
      <c r="M61" s="99"/>
      <c r="N61" s="99"/>
      <c r="O61" s="99"/>
      <c r="P61" s="99"/>
      <c r="Q61" s="99"/>
      <c r="R61" s="99"/>
      <c r="S61" s="99"/>
      <c r="T61" s="99"/>
      <c r="U61" s="99"/>
      <c r="V61" s="99"/>
      <c r="W61" s="99"/>
      <c r="X61" s="99"/>
      <c r="Y61" s="99"/>
      <c r="Z61" s="99"/>
      <c r="AA61" s="99"/>
      <c r="AB61" s="99"/>
      <c r="AC61" s="99"/>
      <c r="AD61" s="99"/>
      <c r="AE61" s="99"/>
      <c r="AF61" s="99"/>
      <c r="AG61" s="99"/>
      <c r="AH61" s="99"/>
      <c r="AI61" s="99"/>
      <c r="AJ61" s="99"/>
      <c r="AK61" s="99"/>
      <c r="AL61" s="99"/>
      <c r="AM61" s="99"/>
      <c r="AN61" s="99"/>
      <c r="AO61" s="99"/>
      <c r="AP61" s="99"/>
      <c r="AQ61" s="99"/>
    </row>
    <row r="62" spans="2:43">
      <c r="C62" s="26" t="s">
        <v>517</v>
      </c>
      <c r="D62" s="99">
        <f>D56/D59</f>
        <v>-22212.768067610003</v>
      </c>
      <c r="E62" s="99">
        <f t="shared" ref="E62:AQ62" si="12">E56/E59</f>
        <v>-18873.134122027826</v>
      </c>
      <c r="F62" s="99">
        <f t="shared" si="12"/>
        <v>-15774.823037490287</v>
      </c>
      <c r="G62" s="99">
        <f t="shared" si="12"/>
        <v>-12900.959613720272</v>
      </c>
      <c r="H62" s="99">
        <f t="shared" si="12"/>
        <v>-10235.846170095348</v>
      </c>
      <c r="I62" s="99">
        <f t="shared" si="12"/>
        <v>-7764.8803922760098</v>
      </c>
      <c r="J62" s="99">
        <f t="shared" si="12"/>
        <v>-5474.4789104685242</v>
      </c>
      <c r="K62" s="99">
        <f t="shared" si="12"/>
        <v>-3352.0062094405498</v>
      </c>
      <c r="L62" s="99">
        <f t="shared" si="12"/>
        <v>-1385.7084983072127</v>
      </c>
      <c r="M62" s="99">
        <f t="shared" si="12"/>
        <v>435.34780594334205</v>
      </c>
      <c r="N62" s="99">
        <f t="shared" si="12"/>
        <v>2121.3333030733384</v>
      </c>
      <c r="O62" s="99">
        <f t="shared" si="12"/>
        <v>3681.7088417995305</v>
      </c>
      <c r="P62" s="99">
        <f t="shared" si="12"/>
        <v>5125.2750381186916</v>
      </c>
      <c r="Q62" s="99">
        <f t="shared" si="12"/>
        <v>6460.2183388626372</v>
      </c>
      <c r="R62" s="99">
        <f t="shared" si="12"/>
        <v>7694.1538715128891</v>
      </c>
      <c r="S62" s="99">
        <f t="shared" si="12"/>
        <v>8834.1653044898121</v>
      </c>
      <c r="T62" s="99">
        <f t="shared" si="12"/>
        <v>9886.8419264875338</v>
      </c>
      <c r="U62" s="99">
        <f t="shared" si="12"/>
        <v>10858.313138874884</v>
      </c>
      <c r="V62" s="99">
        <f t="shared" si="12"/>
        <v>11754.280541646012</v>
      </c>
      <c r="W62" s="99">
        <f t="shared" si="12"/>
        <v>12580.047780812694</v>
      </c>
      <c r="X62" s="99">
        <f t="shared" si="12"/>
        <v>13340.548313416724</v>
      </c>
      <c r="Y62" s="99">
        <f t="shared" si="12"/>
        <v>14040.371235444882</v>
      </c>
      <c r="Z62" s="99">
        <f t="shared" si="12"/>
        <v>14683.785307792603</v>
      </c>
      <c r="AA62" s="99">
        <f t="shared" si="12"/>
        <v>15274.761305994132</v>
      </c>
      <c r="AB62" s="99">
        <f t="shared" si="12"/>
        <v>15816.992810665533</v>
      </c>
      <c r="AC62" s="99">
        <f t="shared" si="12"/>
        <v>16313.915547448141</v>
      </c>
      <c r="AD62" s="99">
        <f t="shared" si="12"/>
        <v>16768.725377650062</v>
      </c>
      <c r="AE62" s="99">
        <f t="shared" si="12"/>
        <v>17184.395033723133</v>
      </c>
      <c r="AF62" s="99">
        <f t="shared" si="12"/>
        <v>17563.689687144892</v>
      </c>
      <c r="AG62" s="99">
        <f t="shared" si="12"/>
        <v>17909.181430165871</v>
      </c>
      <c r="AH62" s="99">
        <f t="shared" si="12"/>
        <v>18223.262747198754</v>
      </c>
      <c r="AI62" s="99">
        <f t="shared" si="12"/>
        <v>18508.159046339912</v>
      </c>
      <c r="AJ62" s="99">
        <f t="shared" si="12"/>
        <v>18765.940316595101</v>
      </c>
      <c r="AK62" s="99">
        <f t="shared" si="12"/>
        <v>18998.531971807068</v>
      </c>
      <c r="AL62" s="99">
        <f t="shared" si="12"/>
        <v>19207.724938026538</v>
      </c>
      <c r="AM62" s="99">
        <f t="shared" si="12"/>
        <v>19395.185037109786</v>
      </c>
      <c r="AN62" s="99">
        <f t="shared" si="12"/>
        <v>19562.461715643181</v>
      </c>
      <c r="AO62" s="99">
        <f t="shared" si="12"/>
        <v>19710.996164869677</v>
      </c>
      <c r="AP62" s="99">
        <f t="shared" si="12"/>
        <v>19842.128874105398</v>
      </c>
      <c r="AQ62" s="99">
        <f t="shared" si="12"/>
        <v>19957.106657170338</v>
      </c>
    </row>
    <row r="63" spans="2:43">
      <c r="C63" s="26" t="s">
        <v>518</v>
      </c>
      <c r="D63" s="99">
        <f>SUM($D62:D62)</f>
        <v>-22212.768067610003</v>
      </c>
      <c r="E63" s="99">
        <f>SUM($D62:E62)</f>
        <v>-41085.902189637825</v>
      </c>
      <c r="F63" s="99">
        <f>SUM($D62:F62)</f>
        <v>-56860.72522712811</v>
      </c>
      <c r="G63" s="99">
        <f>SUM($D62:G62)</f>
        <v>-69761.684840848378</v>
      </c>
      <c r="H63" s="99">
        <f>SUM($D62:H62)</f>
        <v>-79997.531010943727</v>
      </c>
      <c r="I63" s="99">
        <f>SUM($D62:I62)</f>
        <v>-87762.411403219739</v>
      </c>
      <c r="J63" s="99">
        <f>SUM($D62:J62)</f>
        <v>-93236.890313688258</v>
      </c>
      <c r="K63" s="99">
        <f>SUM($D62:K62)</f>
        <v>-96588.896523128802</v>
      </c>
      <c r="L63" s="99">
        <f>SUM($D62:L62)</f>
        <v>-97974.605021436015</v>
      </c>
      <c r="M63" s="99">
        <f>SUM($D62:M62)</f>
        <v>-97539.257215492675</v>
      </c>
      <c r="N63" s="99">
        <f>SUM($D62:N62)</f>
        <v>-95417.923912419341</v>
      </c>
      <c r="O63" s="99">
        <f>SUM($D62:O62)</f>
        <v>-91736.215070619815</v>
      </c>
      <c r="P63" s="99">
        <f>SUM($D62:P62)</f>
        <v>-86610.940032501123</v>
      </c>
      <c r="Q63" s="99">
        <f>SUM($D62:Q62)</f>
        <v>-80150.721693638479</v>
      </c>
      <c r="R63" s="99">
        <f>SUM($D62:R62)</f>
        <v>-72456.567822125595</v>
      </c>
      <c r="S63" s="99">
        <f>SUM($D62:S62)</f>
        <v>-63622.402517635783</v>
      </c>
      <c r="T63" s="99">
        <f>SUM($D62:T62)</f>
        <v>-53735.560591148249</v>
      </c>
      <c r="U63" s="99">
        <f>SUM($D62:U62)</f>
        <v>-42877.247452273368</v>
      </c>
      <c r="V63" s="99">
        <f>SUM($D62:V62)</f>
        <v>-31122.966910627358</v>
      </c>
      <c r="W63" s="99">
        <f>SUM($D62:W62)</f>
        <v>-18542.919129814662</v>
      </c>
      <c r="X63" s="99">
        <f>SUM($D62:X62)</f>
        <v>-5202.3708163979372</v>
      </c>
      <c r="Y63" s="99">
        <f>SUM($D62:Y62)</f>
        <v>8838.0004190469444</v>
      </c>
      <c r="Z63" s="99">
        <f>SUM($D62:Z62)</f>
        <v>23521.785726839546</v>
      </c>
      <c r="AA63" s="99">
        <f>SUM($D62:AA62)</f>
        <v>38796.547032833681</v>
      </c>
      <c r="AB63" s="99">
        <f>SUM($D62:AB62)</f>
        <v>54613.539843499217</v>
      </c>
      <c r="AC63" s="99">
        <f>SUM($D62:AC62)</f>
        <v>70927.455390947362</v>
      </c>
      <c r="AD63" s="99">
        <f>SUM($D62:AD62)</f>
        <v>87696.18076859742</v>
      </c>
      <c r="AE63" s="99">
        <f>SUM($D62:AE62)</f>
        <v>104880.57580232056</v>
      </c>
      <c r="AF63" s="99">
        <f>SUM($D62:AF62)</f>
        <v>122444.26548946544</v>
      </c>
      <c r="AG63" s="99">
        <f>SUM($D62:AG62)</f>
        <v>140353.4469196313</v>
      </c>
      <c r="AH63" s="99">
        <f>SUM($D62:AH62)</f>
        <v>158576.70966683005</v>
      </c>
      <c r="AI63" s="99">
        <f>SUM($D62:AI62)</f>
        <v>177084.86871316997</v>
      </c>
      <c r="AJ63" s="99">
        <f>SUM($D62:AJ62)</f>
        <v>195850.80902976508</v>
      </c>
      <c r="AK63" s="99">
        <f>SUM($D62:AK62)</f>
        <v>214849.34100157215</v>
      </c>
      <c r="AL63" s="99">
        <f>SUM($D62:AL62)</f>
        <v>234057.06593959869</v>
      </c>
      <c r="AM63" s="99">
        <f>SUM($D62:AM62)</f>
        <v>253452.25097670848</v>
      </c>
      <c r="AN63" s="99">
        <f>SUM($D62:AN62)</f>
        <v>273014.71269235166</v>
      </c>
      <c r="AO63" s="99">
        <f>SUM($D62:AO62)</f>
        <v>292725.70885722135</v>
      </c>
      <c r="AP63" s="99">
        <f>SUM($D62:AP62)</f>
        <v>312567.83773132676</v>
      </c>
      <c r="AQ63" s="99">
        <f>SUM($D62:AQ62)</f>
        <v>332524.9443884971</v>
      </c>
    </row>
    <row r="64" spans="2:43">
      <c r="C64" s="26" t="s">
        <v>519</v>
      </c>
      <c r="D64" s="99">
        <f>D57/D59</f>
        <v>-40106.813734130745</v>
      </c>
      <c r="E64" s="99">
        <f t="shared" ref="E64:AQ64" si="13">E57/E59</f>
        <v>-36683.951669169401</v>
      </c>
      <c r="F64" s="99">
        <f t="shared" si="13"/>
        <v>-33502.799572784694</v>
      </c>
      <c r="G64" s="99">
        <f t="shared" si="13"/>
        <v>-30546.480444199351</v>
      </c>
      <c r="H64" s="99">
        <f t="shared" si="13"/>
        <v>-27799.294810665222</v>
      </c>
      <c r="I64" s="99">
        <f t="shared" si="13"/>
        <v>-25246.638574052544</v>
      </c>
      <c r="J64" s="99">
        <f t="shared" si="13"/>
        <v>-22874.926589073995</v>
      </c>
      <c r="K64" s="99">
        <f t="shared" si="13"/>
        <v>-20671.521573261813</v>
      </c>
      <c r="L64" s="99">
        <f t="shared" si="13"/>
        <v>-18624.667976715351</v>
      </c>
      <c r="M64" s="99">
        <f t="shared" si="13"/>
        <v>-16723.430465588492</v>
      </c>
      <c r="N64" s="99">
        <f t="shared" si="13"/>
        <v>-14957.636697428112</v>
      </c>
      <c r="O64" s="99">
        <f t="shared" si="13"/>
        <v>-13317.82408893215</v>
      </c>
      <c r="P64" s="99">
        <f t="shared" si="13"/>
        <v>-11795.190297586321</v>
      </c>
      <c r="Q64" s="99">
        <f t="shared" si="13"/>
        <v>-10381.547158071657</v>
      </c>
      <c r="R64" s="99">
        <f t="shared" si="13"/>
        <v>-9069.2778324124065</v>
      </c>
      <c r="S64" s="99">
        <f t="shared" si="13"/>
        <v>-7851.2969496497908</v>
      </c>
      <c r="T64" s="99">
        <f t="shared" si="13"/>
        <v>-6721.0135264700257</v>
      </c>
      <c r="U64" s="99">
        <f t="shared" si="13"/>
        <v>-5672.2964747665928</v>
      </c>
      <c r="V64" s="99">
        <f t="shared" si="13"/>
        <v>-4699.4425156529442</v>
      </c>
      <c r="W64" s="99">
        <f t="shared" si="13"/>
        <v>-3797.1463320337148</v>
      </c>
      <c r="X64" s="99">
        <f t="shared" si="13"/>
        <v>-2960.4728035559742</v>
      </c>
      <c r="Y64" s="99">
        <f t="shared" si="13"/>
        <v>-2184.8311786581785</v>
      </c>
      <c r="Z64" s="99">
        <f t="shared" si="13"/>
        <v>-1465.951048570442</v>
      </c>
      <c r="AA64" s="99">
        <f t="shared" si="13"/>
        <v>-799.85999754862235</v>
      </c>
      <c r="AB64" s="99">
        <f t="shared" si="13"/>
        <v>-182.86281239562936</v>
      </c>
      <c r="AC64" s="99">
        <f t="shared" si="13"/>
        <v>388.47785751749456</v>
      </c>
      <c r="AD64" s="99">
        <f t="shared" si="13"/>
        <v>917.35949092839326</v>
      </c>
      <c r="AE64" s="99">
        <f t="shared" si="13"/>
        <v>1406.7564301955144</v>
      </c>
      <c r="AF64" s="99">
        <f t="shared" si="13"/>
        <v>1859.435449215086</v>
      </c>
      <c r="AG64" s="99">
        <f t="shared" si="13"/>
        <v>2277.9702352031773</v>
      </c>
      <c r="AH64" s="99">
        <f t="shared" si="13"/>
        <v>2664.7548601196131</v>
      </c>
      <c r="AI64" s="99">
        <f t="shared" si="13"/>
        <v>3022.0163122239242</v>
      </c>
      <c r="AJ64" s="99">
        <f t="shared" si="13"/>
        <v>3351.8261533354648</v>
      </c>
      <c r="AK64" s="99">
        <f t="shared" si="13"/>
        <v>3656.1113627951522</v>
      </c>
      <c r="AL64" s="99">
        <f t="shared" si="13"/>
        <v>3936.6644248704911</v>
      </c>
      <c r="AM64" s="99">
        <f t="shared" si="13"/>
        <v>4195.1527123870228</v>
      </c>
      <c r="AN64" s="99">
        <f t="shared" si="13"/>
        <v>4433.1272156865698</v>
      </c>
      <c r="AO64" s="99">
        <f t="shared" si="13"/>
        <v>4652.0306625872827</v>
      </c>
      <c r="AP64" s="99">
        <f t="shared" si="13"/>
        <v>4853.2050718336131</v>
      </c>
      <c r="AQ64" s="99">
        <f t="shared" si="13"/>
        <v>5037.8987795602843</v>
      </c>
    </row>
    <row r="65" spans="2:43">
      <c r="C65" s="26" t="s">
        <v>520</v>
      </c>
      <c r="D65" s="99">
        <f>SUM($D64:D64)</f>
        <v>-40106.813734130745</v>
      </c>
      <c r="E65" s="99">
        <f>SUM($D64:E64)</f>
        <v>-76790.765403300145</v>
      </c>
      <c r="F65" s="99">
        <f>SUM($D64:F64)</f>
        <v>-110293.56497608483</v>
      </c>
      <c r="G65" s="99">
        <f>SUM($D64:G64)</f>
        <v>-140840.04542028418</v>
      </c>
      <c r="H65" s="99">
        <f>SUM($D64:H64)</f>
        <v>-168639.3402309494</v>
      </c>
      <c r="I65" s="99">
        <f>SUM($D64:I64)</f>
        <v>-193885.97880500194</v>
      </c>
      <c r="J65" s="99">
        <f>SUM($D64:J64)</f>
        <v>-216760.90539407593</v>
      </c>
      <c r="K65" s="99">
        <f>SUM($D64:K64)</f>
        <v>-237432.42696733776</v>
      </c>
      <c r="L65" s="99">
        <f>SUM($D64:L64)</f>
        <v>-256057.0949440531</v>
      </c>
      <c r="M65" s="99">
        <f>SUM($D64:M64)</f>
        <v>-272780.52540964156</v>
      </c>
      <c r="N65" s="99">
        <f>SUM($D64:N64)</f>
        <v>-287738.16210706969</v>
      </c>
      <c r="O65" s="99">
        <f>SUM($D64:O64)</f>
        <v>-301055.98619600182</v>
      </c>
      <c r="P65" s="99">
        <f>SUM($D64:P64)</f>
        <v>-312851.17649358814</v>
      </c>
      <c r="Q65" s="99">
        <f>SUM($D64:Q64)</f>
        <v>-323232.72365165979</v>
      </c>
      <c r="R65" s="99">
        <f>SUM($D64:R64)</f>
        <v>-332302.00148407219</v>
      </c>
      <c r="S65" s="99">
        <f>SUM($D64:S64)</f>
        <v>-340153.298433722</v>
      </c>
      <c r="T65" s="99">
        <f>SUM($D64:T64)</f>
        <v>-346874.31196019205</v>
      </c>
      <c r="U65" s="99">
        <f>SUM($D64:U64)</f>
        <v>-352546.60843495862</v>
      </c>
      <c r="V65" s="99">
        <f>SUM($D64:V64)</f>
        <v>-357246.05095061153</v>
      </c>
      <c r="W65" s="99">
        <f>SUM($D64:W64)</f>
        <v>-361043.19728264527</v>
      </c>
      <c r="X65" s="99">
        <f>SUM($D64:X64)</f>
        <v>-364003.67008620122</v>
      </c>
      <c r="Y65" s="99">
        <f>SUM($D64:Y64)</f>
        <v>-366188.5012648594</v>
      </c>
      <c r="Z65" s="99">
        <f>SUM($D64:Z64)</f>
        <v>-367654.45231342985</v>
      </c>
      <c r="AA65" s="99">
        <f>SUM($D64:AA64)</f>
        <v>-368454.31231097848</v>
      </c>
      <c r="AB65" s="99">
        <f>SUM($D64:AB64)</f>
        <v>-368637.17512337409</v>
      </c>
      <c r="AC65" s="99">
        <f>SUM($D64:AC64)</f>
        <v>-368248.69726585661</v>
      </c>
      <c r="AD65" s="99">
        <f>SUM($D64:AD64)</f>
        <v>-367331.33777492819</v>
      </c>
      <c r="AE65" s="99">
        <f>SUM($D64:AE64)</f>
        <v>-365924.58134473267</v>
      </c>
      <c r="AF65" s="99">
        <f>SUM($D64:AF64)</f>
        <v>-364065.14589551761</v>
      </c>
      <c r="AG65" s="99">
        <f>SUM($D64:AG64)</f>
        <v>-361787.17566031445</v>
      </c>
      <c r="AH65" s="99">
        <f>SUM($D64:AH64)</f>
        <v>-359122.42080019484</v>
      </c>
      <c r="AI65" s="99">
        <f>SUM($D64:AI64)</f>
        <v>-356100.40448797093</v>
      </c>
      <c r="AJ65" s="99">
        <f>SUM($D64:AJ64)</f>
        <v>-352748.57833463547</v>
      </c>
      <c r="AK65" s="99">
        <f>SUM($D64:AK64)</f>
        <v>-349092.4669718403</v>
      </c>
      <c r="AL65" s="99">
        <f>SUM($D64:AL64)</f>
        <v>-345155.80254696979</v>
      </c>
      <c r="AM65" s="99">
        <f>SUM($D64:AM64)</f>
        <v>-340960.64983458276</v>
      </c>
      <c r="AN65" s="99">
        <f>SUM($D64:AN64)</f>
        <v>-336527.52261889621</v>
      </c>
      <c r="AO65" s="99">
        <f>SUM($D64:AO64)</f>
        <v>-331875.49195630895</v>
      </c>
      <c r="AP65" s="99">
        <f>SUM($D64:AP64)</f>
        <v>-327022.28688447532</v>
      </c>
      <c r="AQ65" s="99">
        <f>SUM($D64:AQ64)</f>
        <v>-321984.38810491504</v>
      </c>
    </row>
    <row r="66" spans="2:43">
      <c r="C66" s="26"/>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row>
    <row r="67" spans="2:43">
      <c r="B67" s="258">
        <f>MAX(D67:AQ67)</f>
        <v>21.370529434667979</v>
      </c>
      <c r="C67" s="26" t="s">
        <v>521</v>
      </c>
      <c r="D67">
        <f>IF(AND(C63&lt;0,D63&gt;0),D$37-D63/D62,0)</f>
        <v>0</v>
      </c>
      <c r="E67">
        <f t="shared" ref="E67:AQ67" si="14">IF(AND(D63&lt;0,E63&gt;0),E$37-E63/E62,0)</f>
        <v>0</v>
      </c>
      <c r="F67">
        <f t="shared" si="14"/>
        <v>0</v>
      </c>
      <c r="G67">
        <f t="shared" si="14"/>
        <v>0</v>
      </c>
      <c r="H67">
        <f t="shared" si="14"/>
        <v>0</v>
      </c>
      <c r="I67">
        <f t="shared" si="14"/>
        <v>0</v>
      </c>
      <c r="J67">
        <f t="shared" si="14"/>
        <v>0</v>
      </c>
      <c r="K67">
        <f t="shared" si="14"/>
        <v>0</v>
      </c>
      <c r="L67">
        <f t="shared" si="14"/>
        <v>0</v>
      </c>
      <c r="M67">
        <f t="shared" si="14"/>
        <v>0</v>
      </c>
      <c r="N67">
        <f t="shared" si="14"/>
        <v>0</v>
      </c>
      <c r="O67">
        <f t="shared" si="14"/>
        <v>0</v>
      </c>
      <c r="P67">
        <f t="shared" si="14"/>
        <v>0</v>
      </c>
      <c r="Q67">
        <f t="shared" si="14"/>
        <v>0</v>
      </c>
      <c r="R67">
        <f t="shared" si="14"/>
        <v>0</v>
      </c>
      <c r="S67">
        <f t="shared" si="14"/>
        <v>0</v>
      </c>
      <c r="T67">
        <f t="shared" si="14"/>
        <v>0</v>
      </c>
      <c r="U67">
        <f t="shared" si="14"/>
        <v>0</v>
      </c>
      <c r="V67">
        <f t="shared" si="14"/>
        <v>0</v>
      </c>
      <c r="W67">
        <f t="shared" si="14"/>
        <v>0</v>
      </c>
      <c r="X67">
        <f t="shared" si="14"/>
        <v>0</v>
      </c>
      <c r="Y67">
        <f t="shared" si="14"/>
        <v>21.370529434667979</v>
      </c>
      <c r="Z67">
        <f t="shared" si="14"/>
        <v>0</v>
      </c>
      <c r="AA67">
        <f t="shared" si="14"/>
        <v>0</v>
      </c>
      <c r="AB67">
        <f t="shared" si="14"/>
        <v>0</v>
      </c>
      <c r="AC67">
        <f t="shared" si="14"/>
        <v>0</v>
      </c>
      <c r="AD67">
        <f t="shared" si="14"/>
        <v>0</v>
      </c>
      <c r="AE67">
        <f t="shared" si="14"/>
        <v>0</v>
      </c>
      <c r="AF67">
        <f t="shared" si="14"/>
        <v>0</v>
      </c>
      <c r="AG67">
        <f t="shared" si="14"/>
        <v>0</v>
      </c>
      <c r="AH67">
        <f t="shared" si="14"/>
        <v>0</v>
      </c>
      <c r="AI67">
        <f t="shared" si="14"/>
        <v>0</v>
      </c>
      <c r="AJ67">
        <f t="shared" si="14"/>
        <v>0</v>
      </c>
      <c r="AK67">
        <f t="shared" si="14"/>
        <v>0</v>
      </c>
      <c r="AL67">
        <f t="shared" si="14"/>
        <v>0</v>
      </c>
      <c r="AM67">
        <f t="shared" si="14"/>
        <v>0</v>
      </c>
      <c r="AN67">
        <f t="shared" si="14"/>
        <v>0</v>
      </c>
      <c r="AO67">
        <f t="shared" si="14"/>
        <v>0</v>
      </c>
      <c r="AP67">
        <f t="shared" si="14"/>
        <v>0</v>
      </c>
      <c r="AQ67">
        <f t="shared" si="14"/>
        <v>0</v>
      </c>
    </row>
    <row r="68" spans="2:43" hidden="1">
      <c r="C68" s="26" t="s">
        <v>522</v>
      </c>
      <c r="D68">
        <f>IF(D64*-1-$D$60&gt;0,1,"")</f>
        <v>1</v>
      </c>
      <c r="E68">
        <f t="shared" ref="E68:AQ68" si="15">IF(E64*-1-$D$60&gt;0,1,"")</f>
        <v>1</v>
      </c>
      <c r="F68">
        <f t="shared" si="15"/>
        <v>1</v>
      </c>
      <c r="G68">
        <f t="shared" si="15"/>
        <v>1</v>
      </c>
      <c r="H68">
        <f t="shared" si="15"/>
        <v>1</v>
      </c>
      <c r="I68">
        <f t="shared" si="15"/>
        <v>1</v>
      </c>
      <c r="J68">
        <f t="shared" si="15"/>
        <v>1</v>
      </c>
      <c r="K68">
        <f t="shared" si="15"/>
        <v>1</v>
      </c>
      <c r="L68">
        <f t="shared" si="15"/>
        <v>1</v>
      </c>
      <c r="M68">
        <f t="shared" si="15"/>
        <v>1</v>
      </c>
      <c r="N68">
        <f t="shared" si="15"/>
        <v>1</v>
      </c>
      <c r="O68">
        <f t="shared" si="15"/>
        <v>1</v>
      </c>
      <c r="P68">
        <f t="shared" si="15"/>
        <v>1</v>
      </c>
      <c r="Q68">
        <f t="shared" si="15"/>
        <v>1</v>
      </c>
      <c r="R68">
        <f t="shared" si="15"/>
        <v>1</v>
      </c>
      <c r="S68">
        <f t="shared" si="15"/>
        <v>1</v>
      </c>
      <c r="T68">
        <f t="shared" si="15"/>
        <v>1</v>
      </c>
      <c r="U68">
        <f t="shared" si="15"/>
        <v>1</v>
      </c>
      <c r="V68">
        <f t="shared" si="15"/>
        <v>1</v>
      </c>
      <c r="W68">
        <f t="shared" si="15"/>
        <v>1</v>
      </c>
      <c r="X68">
        <f t="shared" si="15"/>
        <v>1</v>
      </c>
      <c r="Y68">
        <f t="shared" si="15"/>
        <v>1</v>
      </c>
      <c r="Z68">
        <f t="shared" si="15"/>
        <v>1</v>
      </c>
      <c r="AA68">
        <f t="shared" si="15"/>
        <v>1</v>
      </c>
      <c r="AB68">
        <f t="shared" si="15"/>
        <v>1</v>
      </c>
      <c r="AC68" t="str">
        <f t="shared" si="15"/>
        <v/>
      </c>
      <c r="AD68" t="str">
        <f t="shared" si="15"/>
        <v/>
      </c>
      <c r="AE68" t="str">
        <f t="shared" si="15"/>
        <v/>
      </c>
      <c r="AF68" t="str">
        <f t="shared" si="15"/>
        <v/>
      </c>
      <c r="AG68" t="str">
        <f t="shared" si="15"/>
        <v/>
      </c>
      <c r="AH68" t="str">
        <f t="shared" si="15"/>
        <v/>
      </c>
      <c r="AI68" t="str">
        <f t="shared" si="15"/>
        <v/>
      </c>
      <c r="AJ68" t="str">
        <f t="shared" si="15"/>
        <v/>
      </c>
      <c r="AK68" t="str">
        <f t="shared" si="15"/>
        <v/>
      </c>
      <c r="AL68" t="str">
        <f t="shared" si="15"/>
        <v/>
      </c>
      <c r="AM68" t="str">
        <f t="shared" si="15"/>
        <v/>
      </c>
      <c r="AN68" t="str">
        <f t="shared" si="15"/>
        <v/>
      </c>
      <c r="AO68" t="str">
        <f t="shared" si="15"/>
        <v/>
      </c>
      <c r="AP68" t="str">
        <f t="shared" si="15"/>
        <v/>
      </c>
      <c r="AQ68" t="str">
        <f t="shared" si="15"/>
        <v/>
      </c>
    </row>
    <row r="69" spans="2:43" hidden="1">
      <c r="C69" s="26" t="s">
        <v>523</v>
      </c>
      <c r="D69" t="str">
        <f>IF(D66*-1-$D$60&gt;0,1,"")</f>
        <v/>
      </c>
      <c r="E69" t="str">
        <f t="shared" ref="E69:AQ69" si="16">IF(E66*-1-$D$60&gt;0,1,"")</f>
        <v/>
      </c>
      <c r="F69" t="str">
        <f t="shared" si="16"/>
        <v/>
      </c>
      <c r="G69" t="str">
        <f t="shared" si="16"/>
        <v/>
      </c>
      <c r="H69" t="str">
        <f t="shared" si="16"/>
        <v/>
      </c>
      <c r="I69" t="str">
        <f t="shared" si="16"/>
        <v/>
      </c>
      <c r="J69" t="str">
        <f t="shared" si="16"/>
        <v/>
      </c>
      <c r="K69" t="str">
        <f t="shared" si="16"/>
        <v/>
      </c>
      <c r="L69" t="str">
        <f t="shared" si="16"/>
        <v/>
      </c>
      <c r="M69" t="str">
        <f t="shared" si="16"/>
        <v/>
      </c>
      <c r="N69" t="str">
        <f t="shared" si="16"/>
        <v/>
      </c>
      <c r="O69" t="str">
        <f t="shared" si="16"/>
        <v/>
      </c>
      <c r="P69" t="str">
        <f t="shared" si="16"/>
        <v/>
      </c>
      <c r="Q69" t="str">
        <f t="shared" si="16"/>
        <v/>
      </c>
      <c r="R69" t="str">
        <f t="shared" si="16"/>
        <v/>
      </c>
      <c r="S69" t="str">
        <f t="shared" si="16"/>
        <v/>
      </c>
      <c r="T69" t="str">
        <f t="shared" si="16"/>
        <v/>
      </c>
      <c r="U69" t="str">
        <f t="shared" si="16"/>
        <v/>
      </c>
      <c r="V69" t="str">
        <f t="shared" si="16"/>
        <v/>
      </c>
      <c r="W69" t="str">
        <f t="shared" si="16"/>
        <v/>
      </c>
      <c r="X69" t="str">
        <f t="shared" si="16"/>
        <v/>
      </c>
      <c r="Y69" t="str">
        <f t="shared" si="16"/>
        <v/>
      </c>
      <c r="Z69" t="str">
        <f t="shared" si="16"/>
        <v/>
      </c>
      <c r="AA69" t="str">
        <f t="shared" si="16"/>
        <v/>
      </c>
      <c r="AB69" t="str">
        <f t="shared" si="16"/>
        <v/>
      </c>
      <c r="AC69" t="str">
        <f t="shared" si="16"/>
        <v/>
      </c>
      <c r="AD69" t="str">
        <f t="shared" si="16"/>
        <v/>
      </c>
      <c r="AE69" t="str">
        <f t="shared" si="16"/>
        <v/>
      </c>
      <c r="AF69" t="str">
        <f t="shared" si="16"/>
        <v/>
      </c>
      <c r="AG69" t="str">
        <f t="shared" si="16"/>
        <v/>
      </c>
      <c r="AH69" t="str">
        <f t="shared" si="16"/>
        <v/>
      </c>
      <c r="AI69" t="str">
        <f t="shared" si="16"/>
        <v/>
      </c>
      <c r="AJ69" t="str">
        <f>IF(AJ66*-1-$D$60&gt;0,1,"")</f>
        <v/>
      </c>
      <c r="AK69" t="str">
        <f t="shared" si="16"/>
        <v/>
      </c>
      <c r="AL69" t="str">
        <f t="shared" si="16"/>
        <v/>
      </c>
      <c r="AM69" t="str">
        <f t="shared" si="16"/>
        <v/>
      </c>
      <c r="AN69" t="str">
        <f t="shared" si="16"/>
        <v/>
      </c>
      <c r="AO69" t="str">
        <f t="shared" si="16"/>
        <v/>
      </c>
      <c r="AP69" t="str">
        <f t="shared" si="16"/>
        <v/>
      </c>
      <c r="AQ69" t="str">
        <f t="shared" si="16"/>
        <v/>
      </c>
    </row>
    <row r="70" spans="2:43">
      <c r="B70">
        <f>MAX(D70:AQ70)</f>
        <v>0</v>
      </c>
      <c r="C70" s="26" t="s">
        <v>524</v>
      </c>
      <c r="D70">
        <f>IF(AND(C65&lt;0,D65&gt;0),D$37-D65/D64,0)</f>
        <v>0</v>
      </c>
      <c r="E70">
        <f t="shared" ref="E70:AQ70" si="17">IF(AND(D65&lt;0,E65&gt;0),E$37-E65/E64,0)</f>
        <v>0</v>
      </c>
      <c r="F70">
        <f t="shared" si="17"/>
        <v>0</v>
      </c>
      <c r="G70">
        <f t="shared" si="17"/>
        <v>0</v>
      </c>
      <c r="H70">
        <f t="shared" si="17"/>
        <v>0</v>
      </c>
      <c r="I70">
        <f t="shared" si="17"/>
        <v>0</v>
      </c>
      <c r="J70">
        <f t="shared" si="17"/>
        <v>0</v>
      </c>
      <c r="K70">
        <f t="shared" si="17"/>
        <v>0</v>
      </c>
      <c r="L70">
        <f t="shared" si="17"/>
        <v>0</v>
      </c>
      <c r="M70">
        <f t="shared" si="17"/>
        <v>0</v>
      </c>
      <c r="N70">
        <f t="shared" si="17"/>
        <v>0</v>
      </c>
      <c r="O70">
        <f t="shared" si="17"/>
        <v>0</v>
      </c>
      <c r="P70">
        <f t="shared" si="17"/>
        <v>0</v>
      </c>
      <c r="Q70">
        <f t="shared" si="17"/>
        <v>0</v>
      </c>
      <c r="R70">
        <f t="shared" si="17"/>
        <v>0</v>
      </c>
      <c r="S70">
        <f t="shared" si="17"/>
        <v>0</v>
      </c>
      <c r="T70">
        <f t="shared" si="17"/>
        <v>0</v>
      </c>
      <c r="U70">
        <f t="shared" si="17"/>
        <v>0</v>
      </c>
      <c r="V70">
        <f t="shared" si="17"/>
        <v>0</v>
      </c>
      <c r="W70">
        <f t="shared" si="17"/>
        <v>0</v>
      </c>
      <c r="X70">
        <f t="shared" si="17"/>
        <v>0</v>
      </c>
      <c r="Y70">
        <f t="shared" si="17"/>
        <v>0</v>
      </c>
      <c r="Z70">
        <f t="shared" si="17"/>
        <v>0</v>
      </c>
      <c r="AA70">
        <f t="shared" si="17"/>
        <v>0</v>
      </c>
      <c r="AB70">
        <f t="shared" si="17"/>
        <v>0</v>
      </c>
      <c r="AC70">
        <f t="shared" si="17"/>
        <v>0</v>
      </c>
      <c r="AD70">
        <f t="shared" si="17"/>
        <v>0</v>
      </c>
      <c r="AE70">
        <f t="shared" si="17"/>
        <v>0</v>
      </c>
      <c r="AF70">
        <f t="shared" si="17"/>
        <v>0</v>
      </c>
      <c r="AG70">
        <f t="shared" si="17"/>
        <v>0</v>
      </c>
      <c r="AH70">
        <f t="shared" si="17"/>
        <v>0</v>
      </c>
      <c r="AI70">
        <f t="shared" si="17"/>
        <v>0</v>
      </c>
      <c r="AJ70">
        <f t="shared" si="17"/>
        <v>0</v>
      </c>
      <c r="AK70">
        <f t="shared" si="17"/>
        <v>0</v>
      </c>
      <c r="AL70">
        <f t="shared" si="17"/>
        <v>0</v>
      </c>
      <c r="AM70">
        <f t="shared" si="17"/>
        <v>0</v>
      </c>
      <c r="AN70">
        <f t="shared" si="17"/>
        <v>0</v>
      </c>
      <c r="AO70">
        <f t="shared" si="17"/>
        <v>0</v>
      </c>
      <c r="AP70">
        <f t="shared" si="17"/>
        <v>0</v>
      </c>
      <c r="AQ70">
        <f t="shared" si="17"/>
        <v>0</v>
      </c>
    </row>
  </sheetData>
  <mergeCells count="1">
    <mergeCell ref="F23:M23"/>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CB61B-D85B-46CE-9187-0D46FE7BFBB3}">
  <sheetPr>
    <tabColor theme="6" tint="0.39997558519241921"/>
  </sheetPr>
  <dimension ref="A1:AE41"/>
  <sheetViews>
    <sheetView showGridLines="0" topLeftCell="A4" zoomScale="70" zoomScaleNormal="70" workbookViewId="0">
      <selection activeCell="X41" sqref="X41"/>
    </sheetView>
  </sheetViews>
  <sheetFormatPr defaultRowHeight="14.25"/>
  <cols>
    <col min="2" max="2" width="14.625" customWidth="1"/>
    <col min="3" max="4" width="13.625" bestFit="1" customWidth="1"/>
    <col min="5" max="5" width="13.625" customWidth="1"/>
    <col min="6" max="6" width="8.625"/>
    <col min="7" max="7" width="15.125" customWidth="1"/>
    <col min="8" max="9" width="13.625" bestFit="1" customWidth="1"/>
    <col min="10" max="10" width="13.625" customWidth="1"/>
    <col min="11" max="11" width="8.625"/>
    <col min="12" max="12" width="13.875" bestFit="1" customWidth="1"/>
    <col min="13" max="14" width="13.625" bestFit="1" customWidth="1"/>
    <col min="15" max="15" width="13.625" customWidth="1"/>
    <col min="16" max="16" width="8.625"/>
    <col min="17" max="17" width="16.125" bestFit="1" customWidth="1"/>
    <col min="18" max="18" width="13.125" customWidth="1"/>
    <col min="19" max="19" width="13.625" bestFit="1" customWidth="1"/>
    <col min="20" max="20" width="13.625" customWidth="1"/>
    <col min="21" max="22" width="8.625"/>
    <col min="23" max="23" width="17.125" customWidth="1"/>
    <col min="24" max="24" width="12.625" customWidth="1"/>
    <col min="25" max="25" width="14.125" customWidth="1"/>
    <col min="26" max="26" width="12.625" customWidth="1"/>
    <col min="27" max="27" width="9.625" customWidth="1"/>
    <col min="28" max="28" width="16.5" customWidth="1"/>
    <col min="29" max="29" width="12.625" customWidth="1"/>
    <col min="30" max="30" width="13.125" bestFit="1" customWidth="1"/>
  </cols>
  <sheetData>
    <row r="1" spans="1:30" ht="45" customHeight="1">
      <c r="A1" s="1"/>
    </row>
    <row r="2" spans="1:30" ht="18">
      <c r="B2" s="3" t="s">
        <v>454</v>
      </c>
    </row>
    <row r="4" spans="1:30" ht="18">
      <c r="B4" s="126"/>
      <c r="C4" s="127"/>
      <c r="D4" s="127"/>
      <c r="E4" s="127"/>
      <c r="F4" s="127"/>
      <c r="G4" s="127"/>
      <c r="H4" s="127"/>
      <c r="I4" s="127"/>
      <c r="J4" s="127"/>
      <c r="K4" s="127"/>
      <c r="L4" s="127"/>
      <c r="M4" s="127"/>
      <c r="N4" s="127"/>
      <c r="O4" s="127"/>
      <c r="P4" s="127"/>
    </row>
    <row r="5" spans="1:30">
      <c r="A5" s="1"/>
    </row>
    <row r="6" spans="1:30" ht="18">
      <c r="B6" s="3" t="s">
        <v>525</v>
      </c>
    </row>
    <row r="8" spans="1:30" ht="15">
      <c r="B8" s="2" t="s">
        <v>407</v>
      </c>
      <c r="C8" s="2"/>
    </row>
    <row r="9" spans="1:30" ht="15">
      <c r="B9" s="25">
        <f>Dashboard!C9</f>
        <v>40</v>
      </c>
      <c r="V9" s="14" t="s">
        <v>526</v>
      </c>
    </row>
    <row r="11" spans="1:30" ht="43.35" customHeight="1">
      <c r="B11" s="290" t="str">
        <f>Summary!B45</f>
        <v>Grand development, construction and operational costs</v>
      </c>
      <c r="C11" s="290"/>
      <c r="D11" s="290"/>
      <c r="V11" t="s">
        <v>527</v>
      </c>
      <c r="W11" s="46" t="s">
        <v>424</v>
      </c>
      <c r="X11" s="46" t="s">
        <v>528</v>
      </c>
      <c r="Y11" s="46" t="s">
        <v>529</v>
      </c>
      <c r="AB11" s="46" t="s">
        <v>424</v>
      </c>
      <c r="AC11" s="46" t="s">
        <v>528</v>
      </c>
      <c r="AD11" s="46" t="s">
        <v>529</v>
      </c>
    </row>
    <row r="12" spans="1:30">
      <c r="B12" s="107">
        <f>Summary!C45</f>
        <v>18565677.71962788</v>
      </c>
      <c r="V12" s="86">
        <f>B29</f>
        <v>-0.3</v>
      </c>
      <c r="W12" s="109">
        <f>D29</f>
        <v>-7.047721040118049E-2</v>
      </c>
      <c r="X12" s="109">
        <f>I29</f>
        <v>-0.21221746927322027</v>
      </c>
      <c r="Y12" s="109">
        <f>N29</f>
        <v>-1.7305320325599172E-2</v>
      </c>
      <c r="AA12" s="24">
        <v>-0.3</v>
      </c>
      <c r="AB12" s="106">
        <f>C29+H$28+M$28</f>
        <v>17257220.544741157</v>
      </c>
      <c r="AC12" s="106">
        <f>C$28+H29+M$28</f>
        <v>14625716.57862624</v>
      </c>
      <c r="AD12" s="106">
        <f>C$28+H$28+M29</f>
        <v>18244392.71962788</v>
      </c>
    </row>
    <row r="13" spans="1:30">
      <c r="V13" s="86">
        <f t="shared" ref="V13:V24" si="0">B30</f>
        <v>-0.25</v>
      </c>
      <c r="W13" s="109">
        <f t="shared" ref="W13:W24" si="1">D30</f>
        <v>-5.8731008667650242E-2</v>
      </c>
      <c r="X13" s="109">
        <f t="shared" ref="X13:X24" si="2">I30</f>
        <v>-0.17684789106101684</v>
      </c>
      <c r="Y13" s="109">
        <f t="shared" ref="Y13:Y24" si="3">N30</f>
        <v>-1.4421100271332588E-2</v>
      </c>
      <c r="AA13" s="24">
        <v>-0.25</v>
      </c>
      <c r="AB13" s="106">
        <f t="shared" ref="AB13:AB24" si="4">C30+H$28+M$28</f>
        <v>17475296.740555614</v>
      </c>
      <c r="AC13" s="106">
        <f t="shared" ref="AC13:AC24" si="5">C$28+H30+M$28</f>
        <v>15282376.768793181</v>
      </c>
      <c r="AD13" s="106">
        <f t="shared" ref="AD13:AD24" si="6">C$28+H$28+M30</f>
        <v>18297940.21962788</v>
      </c>
    </row>
    <row r="14" spans="1:30" ht="15">
      <c r="B14" s="14" t="str">
        <f>Summary!B46</f>
        <v>Grand total including replacement</v>
      </c>
      <c r="V14" s="86">
        <f t="shared" si="0"/>
        <v>-0.2</v>
      </c>
      <c r="W14" s="109">
        <f t="shared" si="1"/>
        <v>-4.6984806934120216E-2</v>
      </c>
      <c r="X14" s="109">
        <f t="shared" si="2"/>
        <v>-0.1414783128488134</v>
      </c>
      <c r="Y14" s="109">
        <f t="shared" si="3"/>
        <v>-1.1536880217066114E-2</v>
      </c>
      <c r="AA14" s="24">
        <v>-0.2</v>
      </c>
      <c r="AB14" s="106">
        <f t="shared" si="4"/>
        <v>17693372.936370067</v>
      </c>
      <c r="AC14" s="106">
        <f t="shared" si="5"/>
        <v>15939036.958960121</v>
      </c>
      <c r="AD14" s="106">
        <f t="shared" si="6"/>
        <v>18351487.71962788</v>
      </c>
    </row>
    <row r="15" spans="1:30">
      <c r="B15" s="107">
        <f>Summary!C46</f>
        <v>20803772.51962788</v>
      </c>
      <c r="V15" s="86">
        <f t="shared" si="0"/>
        <v>-0.15</v>
      </c>
      <c r="W15" s="109">
        <f t="shared" si="1"/>
        <v>-3.5238605200590079E-2</v>
      </c>
      <c r="X15" s="109">
        <f t="shared" si="2"/>
        <v>-0.10610873463661008</v>
      </c>
      <c r="Y15" s="109">
        <f t="shared" si="3"/>
        <v>-8.6526601627995303E-3</v>
      </c>
      <c r="AA15" s="24">
        <v>-0.15</v>
      </c>
      <c r="AB15" s="106">
        <f t="shared" si="4"/>
        <v>17911449.13218452</v>
      </c>
      <c r="AC15" s="106">
        <f t="shared" si="5"/>
        <v>16595697.149127061</v>
      </c>
      <c r="AD15" s="106">
        <f t="shared" si="6"/>
        <v>18405035.21962788</v>
      </c>
    </row>
    <row r="16" spans="1:30">
      <c r="V16" s="86">
        <f t="shared" si="0"/>
        <v>-0.1</v>
      </c>
      <c r="W16" s="109">
        <f t="shared" si="1"/>
        <v>-2.3492403467060052E-2</v>
      </c>
      <c r="X16" s="109">
        <f t="shared" si="2"/>
        <v>-7.0739156424406646E-2</v>
      </c>
      <c r="Y16" s="109">
        <f t="shared" si="3"/>
        <v>-5.7684401085330572E-3</v>
      </c>
      <c r="AA16" s="24">
        <v>-0.1</v>
      </c>
      <c r="AB16" s="106">
        <f t="shared" si="4"/>
        <v>18129525.327998973</v>
      </c>
      <c r="AC16" s="106">
        <f t="shared" si="5"/>
        <v>17252357.339294001</v>
      </c>
      <c r="AD16" s="106">
        <f t="shared" si="6"/>
        <v>18458582.71962788</v>
      </c>
    </row>
    <row r="17" spans="2:31">
      <c r="V17" s="86">
        <f t="shared" si="0"/>
        <v>-0.05</v>
      </c>
      <c r="W17" s="109">
        <f t="shared" si="1"/>
        <v>-1.1746201733530026E-2</v>
      </c>
      <c r="X17" s="109">
        <f t="shared" si="2"/>
        <v>-3.5369578212203323E-2</v>
      </c>
      <c r="Y17" s="109">
        <f t="shared" si="3"/>
        <v>-2.8842200542664731E-3</v>
      </c>
      <c r="AA17" s="24">
        <v>-0.05</v>
      </c>
      <c r="AB17" s="106">
        <f t="shared" si="4"/>
        <v>18347601.523813426</v>
      </c>
      <c r="AC17" s="106">
        <f t="shared" si="5"/>
        <v>17909017.529460941</v>
      </c>
      <c r="AD17" s="106">
        <f t="shared" si="6"/>
        <v>18512130.21962788</v>
      </c>
    </row>
    <row r="18" spans="2:31">
      <c r="V18" s="86">
        <f t="shared" si="0"/>
        <v>0</v>
      </c>
      <c r="W18" s="109">
        <f t="shared" si="1"/>
        <v>0</v>
      </c>
      <c r="X18" s="109">
        <f t="shared" si="2"/>
        <v>0</v>
      </c>
      <c r="Y18" s="109">
        <f t="shared" si="3"/>
        <v>0</v>
      </c>
      <c r="AA18" s="24">
        <v>0</v>
      </c>
      <c r="AB18" s="106">
        <f t="shared" si="4"/>
        <v>18565677.71962788</v>
      </c>
      <c r="AC18" s="106">
        <f t="shared" si="5"/>
        <v>18565677.71962788</v>
      </c>
      <c r="AD18" s="106">
        <f t="shared" si="6"/>
        <v>18565677.71962788</v>
      </c>
    </row>
    <row r="19" spans="2:31">
      <c r="V19" s="86">
        <f t="shared" si="0"/>
        <v>0.05</v>
      </c>
      <c r="W19" s="109">
        <f t="shared" si="1"/>
        <v>1.1746201733530137E-2</v>
      </c>
      <c r="X19" s="109">
        <f t="shared" si="2"/>
        <v>3.5369578212203434E-2</v>
      </c>
      <c r="Y19" s="109">
        <f t="shared" si="3"/>
        <v>2.8842200542664731E-3</v>
      </c>
      <c r="AA19" s="24">
        <v>0.05</v>
      </c>
      <c r="AB19" s="106">
        <f t="shared" si="4"/>
        <v>18783753.915442336</v>
      </c>
      <c r="AC19" s="106">
        <f t="shared" si="5"/>
        <v>19222337.909794822</v>
      </c>
      <c r="AD19" s="106">
        <f t="shared" si="6"/>
        <v>18619225.21962788</v>
      </c>
    </row>
    <row r="20" spans="2:31">
      <c r="V20" s="86">
        <f t="shared" si="0"/>
        <v>0.1</v>
      </c>
      <c r="W20" s="109">
        <f t="shared" si="1"/>
        <v>2.3492403467060274E-2</v>
      </c>
      <c r="X20" s="109">
        <f t="shared" si="2"/>
        <v>7.073915642440709E-2</v>
      </c>
      <c r="Y20" s="109">
        <f t="shared" si="3"/>
        <v>5.7684401085329462E-3</v>
      </c>
      <c r="AA20" s="24">
        <v>0.1</v>
      </c>
      <c r="AB20" s="106">
        <f t="shared" si="4"/>
        <v>19001830.111256789</v>
      </c>
      <c r="AC20" s="106">
        <f t="shared" si="5"/>
        <v>19878998.099961765</v>
      </c>
      <c r="AD20" s="106">
        <f t="shared" si="6"/>
        <v>18672772.71962788</v>
      </c>
    </row>
    <row r="21" spans="2:31">
      <c r="V21" s="86">
        <f t="shared" si="0"/>
        <v>0.15</v>
      </c>
      <c r="W21" s="109">
        <f t="shared" si="1"/>
        <v>3.5238605200590412E-2</v>
      </c>
      <c r="X21" s="109">
        <f t="shared" si="2"/>
        <v>0.10610873463661008</v>
      </c>
      <c r="Y21" s="109">
        <f t="shared" si="3"/>
        <v>8.6526601627996413E-3</v>
      </c>
      <c r="AA21" s="24">
        <v>0.15</v>
      </c>
      <c r="AB21" s="106">
        <f t="shared" si="4"/>
        <v>19219906.307071242</v>
      </c>
      <c r="AC21" s="106">
        <f t="shared" si="5"/>
        <v>20535658.2901287</v>
      </c>
      <c r="AD21" s="106">
        <f t="shared" si="6"/>
        <v>18726320.21962788</v>
      </c>
    </row>
    <row r="22" spans="2:31">
      <c r="V22" s="86">
        <f t="shared" si="0"/>
        <v>0.2</v>
      </c>
      <c r="W22" s="109">
        <f t="shared" si="1"/>
        <v>4.6984806934120327E-2</v>
      </c>
      <c r="X22" s="109">
        <f t="shared" si="2"/>
        <v>0.14147831284881374</v>
      </c>
      <c r="Y22" s="109">
        <f t="shared" si="3"/>
        <v>1.1536880217066114E-2</v>
      </c>
      <c r="AA22" s="24">
        <v>0.2</v>
      </c>
      <c r="AB22" s="106">
        <f t="shared" si="4"/>
        <v>19437982.502885696</v>
      </c>
      <c r="AC22" s="106">
        <f t="shared" si="5"/>
        <v>21192318.480295643</v>
      </c>
      <c r="AD22" s="106">
        <f t="shared" si="6"/>
        <v>18779867.71962788</v>
      </c>
    </row>
    <row r="23" spans="2:31">
      <c r="V23" s="86">
        <f t="shared" si="0"/>
        <v>0.25</v>
      </c>
      <c r="W23" s="109">
        <f t="shared" si="1"/>
        <v>5.8731008667650686E-2</v>
      </c>
      <c r="X23" s="109">
        <f t="shared" si="2"/>
        <v>0.17684789106101695</v>
      </c>
      <c r="Y23" s="109">
        <f t="shared" si="3"/>
        <v>1.4421100271332588E-2</v>
      </c>
      <c r="AA23" s="24">
        <v>0.25</v>
      </c>
      <c r="AB23" s="106">
        <f t="shared" si="4"/>
        <v>19656058.698700152</v>
      </c>
      <c r="AC23" s="106">
        <f t="shared" si="5"/>
        <v>21848978.670462582</v>
      </c>
      <c r="AD23" s="106">
        <f t="shared" si="6"/>
        <v>18833415.21962788</v>
      </c>
    </row>
    <row r="24" spans="2:31">
      <c r="V24" s="86">
        <f t="shared" si="0"/>
        <v>0.3</v>
      </c>
      <c r="W24" s="109">
        <f t="shared" si="1"/>
        <v>7.0477210401180601E-2</v>
      </c>
      <c r="X24" s="109">
        <f t="shared" si="2"/>
        <v>0.21221746927322038</v>
      </c>
      <c r="Y24" s="109">
        <f t="shared" si="3"/>
        <v>1.7305320325599061E-2</v>
      </c>
      <c r="AA24" s="24">
        <v>0.3</v>
      </c>
      <c r="AB24" s="106">
        <f t="shared" si="4"/>
        <v>19874134.894514605</v>
      </c>
      <c r="AC24" s="106">
        <f t="shared" si="5"/>
        <v>22505638.860629521</v>
      </c>
      <c r="AD24" s="106">
        <f t="shared" si="6"/>
        <v>18886962.71962788</v>
      </c>
    </row>
    <row r="25" spans="2:31">
      <c r="W25" s="86"/>
    </row>
    <row r="27" spans="2:31" ht="15">
      <c r="B27" s="27" t="s">
        <v>424</v>
      </c>
      <c r="C27" s="27"/>
      <c r="D27" s="27"/>
      <c r="E27" s="27"/>
      <c r="G27" s="27" t="s">
        <v>528</v>
      </c>
      <c r="H27" s="27"/>
      <c r="I27" s="27"/>
      <c r="J27" s="27"/>
      <c r="L27" s="27" t="s">
        <v>529</v>
      </c>
      <c r="M27" s="27"/>
      <c r="N27" s="27"/>
      <c r="O27" s="27"/>
      <c r="Q27" s="27" t="s">
        <v>421</v>
      </c>
      <c r="R27" s="27"/>
      <c r="S27" s="27"/>
      <c r="T27" s="27"/>
      <c r="W27" s="14" t="s">
        <v>530</v>
      </c>
    </row>
    <row r="28" spans="2:31" ht="71.25">
      <c r="B28" s="27" t="s">
        <v>531</v>
      </c>
      <c r="C28" s="106">
        <f>Summary!C44</f>
        <v>4361523.9162890781</v>
      </c>
      <c r="D28" s="46" t="s">
        <v>526</v>
      </c>
      <c r="E28" s="46" t="s">
        <v>530</v>
      </c>
      <c r="G28" s="27" t="s">
        <v>531</v>
      </c>
      <c r="H28" s="106">
        <f>Summary!D44</f>
        <v>13133203.803338803</v>
      </c>
      <c r="I28" s="46" t="s">
        <v>526</v>
      </c>
      <c r="J28" s="46" t="s">
        <v>530</v>
      </c>
      <c r="L28" s="27" t="s">
        <v>531</v>
      </c>
      <c r="M28" s="106">
        <f>Summary!E44</f>
        <v>1070950</v>
      </c>
      <c r="N28" s="46" t="s">
        <v>526</v>
      </c>
      <c r="O28" s="46" t="s">
        <v>530</v>
      </c>
      <c r="Q28" s="27" t="s">
        <v>531</v>
      </c>
      <c r="R28" s="106">
        <f>Summary!F44</f>
        <v>2238094.8000000003</v>
      </c>
      <c r="S28" s="46" t="s">
        <v>526</v>
      </c>
      <c r="T28" s="46" t="s">
        <v>530</v>
      </c>
      <c r="W28" s="46" t="s">
        <v>424</v>
      </c>
      <c r="X28" s="46" t="s">
        <v>528</v>
      </c>
      <c r="Y28" s="46" t="s">
        <v>529</v>
      </c>
      <c r="Z28" s="46" t="s">
        <v>421</v>
      </c>
      <c r="AB28" s="15"/>
      <c r="AC28" s="15"/>
      <c r="AD28" s="15"/>
      <c r="AE28" s="15"/>
    </row>
    <row r="29" spans="2:31">
      <c r="B29" s="105">
        <v>-0.3</v>
      </c>
      <c r="C29" s="106">
        <f t="shared" ref="C29:C33" si="7">C$28*(1+B29)</f>
        <v>3053066.7414023546</v>
      </c>
      <c r="D29" s="105">
        <f>(($C29+$H$28+$M$28)/$B$12)-1</f>
        <v>-7.047721040118049E-2</v>
      </c>
      <c r="E29" s="105">
        <f t="shared" ref="E29:E34" si="8">(($C29+$H$28+$M$28+$R$28)/$B$15)-1</f>
        <v>-6.2895187574860456E-2</v>
      </c>
      <c r="G29" s="105">
        <v>-0.3</v>
      </c>
      <c r="H29" s="106">
        <f t="shared" ref="H29:H41" si="9">H$28*(1+G29)</f>
        <v>9193242.6623371616</v>
      </c>
      <c r="I29" s="105">
        <f>(($H29+$C$28+$M$28)/$B$12)-1</f>
        <v>-0.21221746927322027</v>
      </c>
      <c r="J29" s="105">
        <f t="shared" ref="J29:J34" si="10">(($H29+$C$28+$M$28+$R$28)/$B$15)-1</f>
        <v>-0.18938685939217892</v>
      </c>
      <c r="L29" s="105">
        <v>-0.3</v>
      </c>
      <c r="M29" s="106">
        <f t="shared" ref="M29:M41" si="11">M$28*(1+L29)</f>
        <v>749665</v>
      </c>
      <c r="N29" s="105">
        <f>(($M29+$H$28+$C$28)/$B$12)-1</f>
        <v>-1.7305320325599172E-2</v>
      </c>
      <c r="O29" s="105">
        <f t="shared" ref="O29:O34" si="12">(($M29+$H$28+$C$28+$R$28)/$B$15)-1</f>
        <v>-1.5443593208725681E-2</v>
      </c>
      <c r="Q29" s="105">
        <v>-0.3</v>
      </c>
      <c r="R29" s="106">
        <f t="shared" ref="R29:R41" si="13">R$28*(1+Q29)</f>
        <v>1566666.36</v>
      </c>
      <c r="S29" s="105"/>
      <c r="T29" s="202">
        <f t="shared" ref="T29:T41" si="14">(($M$28+$H$28+$C$28+R29)/$B$15)-1</f>
        <v>-3.2274359824234988E-2</v>
      </c>
      <c r="V29" s="24">
        <v>-0.3</v>
      </c>
      <c r="W29" s="109">
        <f>E29</f>
        <v>-6.2895187574860456E-2</v>
      </c>
      <c r="X29" s="109">
        <f>J29</f>
        <v>-0.18938685939217892</v>
      </c>
      <c r="Y29" s="109">
        <f>O29</f>
        <v>-1.5443593208725681E-2</v>
      </c>
      <c r="Z29" s="203">
        <f>T29</f>
        <v>-3.2274359824234988E-2</v>
      </c>
    </row>
    <row r="30" spans="2:31">
      <c r="B30" s="105">
        <v>-0.25</v>
      </c>
      <c r="C30" s="106">
        <f t="shared" si="7"/>
        <v>3271142.9372168086</v>
      </c>
      <c r="D30" s="105">
        <f t="shared" ref="D30:D41" si="15">(($C30+$H$28+$M$28)/$B$12)-1</f>
        <v>-5.8731008667650242E-2</v>
      </c>
      <c r="E30" s="105">
        <f t="shared" si="8"/>
        <v>-5.2412656312383565E-2</v>
      </c>
      <c r="G30" s="105">
        <v>-0.25</v>
      </c>
      <c r="H30" s="106">
        <f t="shared" si="9"/>
        <v>9849902.8525041025</v>
      </c>
      <c r="I30" s="105">
        <f t="shared" ref="I30:I41" si="16">(($H30+$C$28+$M$28)/$B$12)-1</f>
        <v>-0.17684789106101684</v>
      </c>
      <c r="J30" s="105">
        <f t="shared" si="10"/>
        <v>-0.15782238282681571</v>
      </c>
      <c r="L30" s="105">
        <v>-0.25</v>
      </c>
      <c r="M30" s="106">
        <f t="shared" si="11"/>
        <v>803212.5</v>
      </c>
      <c r="N30" s="105">
        <f t="shared" ref="N30:N41" si="17">(($M30+$H$28+$C$28)/$B$12)-1</f>
        <v>-1.4421100271332588E-2</v>
      </c>
      <c r="O30" s="105">
        <f t="shared" si="12"/>
        <v>-1.2869661007271382E-2</v>
      </c>
      <c r="Q30" s="105">
        <v>-0.25</v>
      </c>
      <c r="R30" s="106">
        <f t="shared" si="13"/>
        <v>1678571.1</v>
      </c>
      <c r="S30" s="104"/>
      <c r="T30" s="202">
        <f t="shared" si="14"/>
        <v>-2.6895299853529009E-2</v>
      </c>
      <c r="V30" s="24">
        <v>-0.25</v>
      </c>
      <c r="W30" s="109">
        <f t="shared" ref="W30:W41" si="18">E30</f>
        <v>-5.2412656312383565E-2</v>
      </c>
      <c r="X30" s="109">
        <f t="shared" ref="X30:X41" si="19">J30</f>
        <v>-0.15782238282681571</v>
      </c>
      <c r="Y30" s="109">
        <f t="shared" ref="Y30:Y41" si="20">O30</f>
        <v>-1.2869661007271382E-2</v>
      </c>
      <c r="Z30" s="203">
        <f t="shared" ref="Z30:Z41" si="21">T30</f>
        <v>-2.6895299853529009E-2</v>
      </c>
    </row>
    <row r="31" spans="2:31">
      <c r="B31" s="105">
        <v>-0.2</v>
      </c>
      <c r="C31" s="106">
        <f t="shared" si="7"/>
        <v>3489219.1330312626</v>
      </c>
      <c r="D31" s="105">
        <f t="shared" si="15"/>
        <v>-4.6984806934120216E-2</v>
      </c>
      <c r="E31" s="105">
        <f t="shared" si="8"/>
        <v>-4.1930125049906786E-2</v>
      </c>
      <c r="G31" s="105">
        <v>-0.2</v>
      </c>
      <c r="H31" s="106">
        <f t="shared" si="9"/>
        <v>10506563.042671043</v>
      </c>
      <c r="I31" s="105">
        <f t="shared" si="16"/>
        <v>-0.1414783128488134</v>
      </c>
      <c r="J31" s="105">
        <f t="shared" si="10"/>
        <v>-0.12625790626145261</v>
      </c>
      <c r="L31" s="105">
        <v>-0.2</v>
      </c>
      <c r="M31" s="106">
        <f t="shared" si="11"/>
        <v>856760</v>
      </c>
      <c r="N31" s="105">
        <f t="shared" si="17"/>
        <v>-1.1536880217066114E-2</v>
      </c>
      <c r="O31" s="105">
        <f t="shared" si="12"/>
        <v>-1.0295728805817195E-2</v>
      </c>
      <c r="Q31" s="105">
        <v>-0.2</v>
      </c>
      <c r="R31" s="106">
        <f t="shared" si="13"/>
        <v>1790475.8400000003</v>
      </c>
      <c r="S31" s="104"/>
      <c r="T31" s="202">
        <f t="shared" si="14"/>
        <v>-2.1516239882823252E-2</v>
      </c>
      <c r="V31" s="24">
        <v>-0.2</v>
      </c>
      <c r="W31" s="109">
        <f t="shared" si="18"/>
        <v>-4.1930125049906786E-2</v>
      </c>
      <c r="X31" s="109">
        <f t="shared" si="19"/>
        <v>-0.12625790626145261</v>
      </c>
      <c r="Y31" s="109">
        <f t="shared" si="20"/>
        <v>-1.0295728805817195E-2</v>
      </c>
      <c r="Z31" s="203">
        <f t="shared" si="21"/>
        <v>-2.1516239882823252E-2</v>
      </c>
    </row>
    <row r="32" spans="2:31">
      <c r="B32" s="105">
        <v>-0.15</v>
      </c>
      <c r="C32" s="106">
        <f t="shared" si="7"/>
        <v>3707295.3288457161</v>
      </c>
      <c r="D32" s="105">
        <f t="shared" si="15"/>
        <v>-3.5238605200590079E-2</v>
      </c>
      <c r="E32" s="105">
        <f t="shared" si="8"/>
        <v>-3.1447593787430117E-2</v>
      </c>
      <c r="G32" s="105">
        <v>-0.15</v>
      </c>
      <c r="H32" s="106">
        <f t="shared" si="9"/>
        <v>11163223.232837982</v>
      </c>
      <c r="I32" s="105">
        <f t="shared" si="16"/>
        <v>-0.10610873463661008</v>
      </c>
      <c r="J32" s="105">
        <f t="shared" si="10"/>
        <v>-9.4693429696089515E-2</v>
      </c>
      <c r="L32" s="105">
        <v>-0.15</v>
      </c>
      <c r="M32" s="106">
        <f t="shared" si="11"/>
        <v>910307.5</v>
      </c>
      <c r="N32" s="105">
        <f t="shared" si="17"/>
        <v>-8.6526601627995303E-3</v>
      </c>
      <c r="O32" s="105">
        <f t="shared" si="12"/>
        <v>-7.7217966043628961E-3</v>
      </c>
      <c r="Q32" s="105">
        <v>-0.15</v>
      </c>
      <c r="R32" s="106">
        <f t="shared" si="13"/>
        <v>1902380.58</v>
      </c>
      <c r="S32" s="104"/>
      <c r="T32" s="202">
        <f t="shared" si="14"/>
        <v>-1.6137179912117605E-2</v>
      </c>
      <c r="V32" s="24">
        <v>-0.15</v>
      </c>
      <c r="W32" s="109">
        <f t="shared" si="18"/>
        <v>-3.1447593787430117E-2</v>
      </c>
      <c r="X32" s="109">
        <f t="shared" si="19"/>
        <v>-9.4693429696089515E-2</v>
      </c>
      <c r="Y32" s="109">
        <f t="shared" si="20"/>
        <v>-7.7217966043628961E-3</v>
      </c>
      <c r="Z32" s="203">
        <f t="shared" si="21"/>
        <v>-1.6137179912117605E-2</v>
      </c>
    </row>
    <row r="33" spans="2:26">
      <c r="B33" s="105">
        <v>-0.1</v>
      </c>
      <c r="C33" s="106">
        <f t="shared" si="7"/>
        <v>3925371.5246601705</v>
      </c>
      <c r="D33" s="105">
        <f t="shared" si="15"/>
        <v>-2.3492403467060052E-2</v>
      </c>
      <c r="E33" s="105">
        <f t="shared" si="8"/>
        <v>-2.0965062524953448E-2</v>
      </c>
      <c r="G33" s="105">
        <v>-0.1</v>
      </c>
      <c r="H33" s="106">
        <f t="shared" si="9"/>
        <v>11819883.423004923</v>
      </c>
      <c r="I33" s="105">
        <f t="shared" si="16"/>
        <v>-7.0739156424406646E-2</v>
      </c>
      <c r="J33" s="105">
        <f t="shared" si="10"/>
        <v>-6.3128953130726195E-2</v>
      </c>
      <c r="L33" s="105">
        <v>-0.1</v>
      </c>
      <c r="M33" s="106">
        <f t="shared" si="11"/>
        <v>963855</v>
      </c>
      <c r="N33" s="105">
        <f t="shared" si="17"/>
        <v>-5.7684401085330572E-3</v>
      </c>
      <c r="O33" s="105">
        <f t="shared" si="12"/>
        <v>-5.1478644029085974E-3</v>
      </c>
      <c r="Q33" s="105">
        <v>-0.1</v>
      </c>
      <c r="R33" s="106">
        <f t="shared" si="13"/>
        <v>2014285.3200000003</v>
      </c>
      <c r="S33" s="104"/>
      <c r="T33" s="202">
        <f t="shared" si="14"/>
        <v>-1.0758119941411626E-2</v>
      </c>
      <c r="V33" s="24">
        <v>-0.1</v>
      </c>
      <c r="W33" s="109">
        <f t="shared" si="18"/>
        <v>-2.0965062524953448E-2</v>
      </c>
      <c r="X33" s="109">
        <f t="shared" si="19"/>
        <v>-6.3128953130726195E-2</v>
      </c>
      <c r="Y33" s="109">
        <f t="shared" si="20"/>
        <v>-5.1478644029085974E-3</v>
      </c>
      <c r="Z33" s="203">
        <f t="shared" si="21"/>
        <v>-1.0758119941411626E-2</v>
      </c>
    </row>
    <row r="34" spans="2:26">
      <c r="B34" s="105">
        <v>-0.05</v>
      </c>
      <c r="C34" s="106">
        <f>C$28*(1+B34)</f>
        <v>4143447.7204746241</v>
      </c>
      <c r="D34" s="105">
        <f t="shared" si="15"/>
        <v>-1.1746201733530026E-2</v>
      </c>
      <c r="E34" s="105">
        <f t="shared" si="8"/>
        <v>-1.0482531262476669E-2</v>
      </c>
      <c r="G34" s="105">
        <v>-0.05</v>
      </c>
      <c r="H34" s="106">
        <f t="shared" si="9"/>
        <v>12476543.613171862</v>
      </c>
      <c r="I34" s="105">
        <f t="shared" si="16"/>
        <v>-3.5369578212203323E-2</v>
      </c>
      <c r="J34" s="105">
        <f t="shared" si="10"/>
        <v>-3.1564476565363098E-2</v>
      </c>
      <c r="L34" s="105">
        <v>-0.05</v>
      </c>
      <c r="M34" s="106">
        <f t="shared" si="11"/>
        <v>1017402.5</v>
      </c>
      <c r="N34" s="105">
        <f t="shared" si="17"/>
        <v>-2.8842200542664731E-3</v>
      </c>
      <c r="O34" s="105">
        <f t="shared" si="12"/>
        <v>-2.5739322014542987E-3</v>
      </c>
      <c r="Q34" s="105">
        <v>-0.05</v>
      </c>
      <c r="R34" s="106">
        <f t="shared" si="13"/>
        <v>2126190.06</v>
      </c>
      <c r="S34" s="104"/>
      <c r="T34" s="202">
        <f t="shared" si="14"/>
        <v>-5.3790599707058684E-3</v>
      </c>
      <c r="V34" s="24">
        <v>-0.05</v>
      </c>
      <c r="W34" s="109">
        <f t="shared" si="18"/>
        <v>-1.0482531262476669E-2</v>
      </c>
      <c r="X34" s="109">
        <f t="shared" si="19"/>
        <v>-3.1564476565363098E-2</v>
      </c>
      <c r="Y34" s="109">
        <f t="shared" si="20"/>
        <v>-2.5739322014542987E-3</v>
      </c>
      <c r="Z34" s="203">
        <f t="shared" si="21"/>
        <v>-5.3790599707058684E-3</v>
      </c>
    </row>
    <row r="35" spans="2:26">
      <c r="B35" s="105">
        <v>0</v>
      </c>
      <c r="C35" s="106">
        <f t="shared" ref="C35:C41" si="22">C$28*(1+B35)</f>
        <v>4361523.9162890781</v>
      </c>
      <c r="D35" s="105">
        <f t="shared" si="15"/>
        <v>0</v>
      </c>
      <c r="E35" s="105">
        <f>(($C35+$H$28+$M$28+$R$28)/$B$15)-1</f>
        <v>0</v>
      </c>
      <c r="G35" s="105">
        <v>0</v>
      </c>
      <c r="H35" s="106">
        <f t="shared" si="9"/>
        <v>13133203.803338803</v>
      </c>
      <c r="I35" s="105">
        <f t="shared" si="16"/>
        <v>0</v>
      </c>
      <c r="J35" s="105">
        <f>(($H35+$C$28+$M$28+$R$28)/$B$15)-1</f>
        <v>0</v>
      </c>
      <c r="L35" s="105">
        <v>0</v>
      </c>
      <c r="M35" s="106">
        <f t="shared" si="11"/>
        <v>1070950</v>
      </c>
      <c r="N35" s="105">
        <f t="shared" si="17"/>
        <v>0</v>
      </c>
      <c r="O35" s="105">
        <f>(($M35+$H$28+$C$28+$R$28)/$B$15)-1</f>
        <v>0</v>
      </c>
      <c r="Q35" s="105">
        <v>0</v>
      </c>
      <c r="R35" s="106">
        <f t="shared" si="13"/>
        <v>2238094.8000000003</v>
      </c>
      <c r="S35" s="104"/>
      <c r="T35" s="202">
        <f>(($M$28+$H$28+$C$28+R35)/$B$15)-1</f>
        <v>0</v>
      </c>
      <c r="V35" s="24">
        <v>0</v>
      </c>
      <c r="W35" s="109">
        <f t="shared" si="18"/>
        <v>0</v>
      </c>
      <c r="X35" s="109">
        <f t="shared" si="19"/>
        <v>0</v>
      </c>
      <c r="Y35" s="109">
        <f t="shared" si="20"/>
        <v>0</v>
      </c>
      <c r="Z35" s="203">
        <f t="shared" si="21"/>
        <v>0</v>
      </c>
    </row>
    <row r="36" spans="2:26">
      <c r="B36" s="105">
        <v>0.05</v>
      </c>
      <c r="C36" s="106">
        <f t="shared" si="22"/>
        <v>4579600.1121035321</v>
      </c>
      <c r="D36" s="105">
        <f t="shared" si="15"/>
        <v>1.1746201733530137E-2</v>
      </c>
      <c r="E36" s="105">
        <f t="shared" ref="E36:E41" si="23">(($C36+$H$28+$M$28+$R$28)/$B$15)-1</f>
        <v>1.048253126247678E-2</v>
      </c>
      <c r="G36" s="105">
        <v>0.05</v>
      </c>
      <c r="H36" s="106">
        <f t="shared" si="9"/>
        <v>13789863.993505744</v>
      </c>
      <c r="I36" s="105">
        <f t="shared" si="16"/>
        <v>3.5369578212203434E-2</v>
      </c>
      <c r="J36" s="105">
        <f t="shared" ref="J36:J41" si="24">(($H36+$C$28+$M$28+$R$28)/$B$15)-1</f>
        <v>3.156447656536332E-2</v>
      </c>
      <c r="L36" s="105">
        <v>0.05</v>
      </c>
      <c r="M36" s="106">
        <f t="shared" si="11"/>
        <v>1124497.5</v>
      </c>
      <c r="N36" s="105">
        <f t="shared" si="17"/>
        <v>2.8842200542664731E-3</v>
      </c>
      <c r="O36" s="105">
        <f t="shared" ref="O36:O41" si="25">(($M36+$H$28+$C$28+$R$28)/$B$15)-1</f>
        <v>2.5739322014541877E-3</v>
      </c>
      <c r="Q36" s="105">
        <v>0.05</v>
      </c>
      <c r="R36" s="106">
        <f t="shared" si="13"/>
        <v>2349999.5400000005</v>
      </c>
      <c r="S36" s="104"/>
      <c r="T36" s="202">
        <f t="shared" si="14"/>
        <v>5.3790599707057574E-3</v>
      </c>
      <c r="V36" s="24">
        <v>0.05</v>
      </c>
      <c r="W36" s="109">
        <f t="shared" si="18"/>
        <v>1.048253126247678E-2</v>
      </c>
      <c r="X36" s="109">
        <f t="shared" si="19"/>
        <v>3.156447656536332E-2</v>
      </c>
      <c r="Y36" s="109">
        <f t="shared" si="20"/>
        <v>2.5739322014541877E-3</v>
      </c>
      <c r="Z36" s="203">
        <f t="shared" si="21"/>
        <v>5.3790599707057574E-3</v>
      </c>
    </row>
    <row r="37" spans="2:26">
      <c r="B37" s="105">
        <v>0.1</v>
      </c>
      <c r="C37" s="106">
        <f t="shared" si="22"/>
        <v>4797676.3079179861</v>
      </c>
      <c r="D37" s="105">
        <f t="shared" si="15"/>
        <v>2.3492403467060274E-2</v>
      </c>
      <c r="E37" s="105">
        <f t="shared" si="23"/>
        <v>2.0965062524953559E-2</v>
      </c>
      <c r="G37" s="105">
        <v>0.1</v>
      </c>
      <c r="H37" s="106">
        <f t="shared" si="9"/>
        <v>14446524.183672685</v>
      </c>
      <c r="I37" s="105">
        <f t="shared" si="16"/>
        <v>7.073915642440709E-2</v>
      </c>
      <c r="J37" s="105">
        <f t="shared" si="24"/>
        <v>6.3128953130726639E-2</v>
      </c>
      <c r="L37" s="105">
        <v>0.1</v>
      </c>
      <c r="M37" s="106">
        <f t="shared" si="11"/>
        <v>1178045</v>
      </c>
      <c r="N37" s="105">
        <f t="shared" si="17"/>
        <v>5.7684401085329462E-3</v>
      </c>
      <c r="O37" s="105">
        <f t="shared" si="25"/>
        <v>5.1478644029085974E-3</v>
      </c>
      <c r="Q37" s="105">
        <v>0.1</v>
      </c>
      <c r="R37" s="106">
        <f t="shared" si="13"/>
        <v>2461904.2800000007</v>
      </c>
      <c r="S37" s="104"/>
      <c r="T37" s="202">
        <f t="shared" si="14"/>
        <v>1.0758119941411737E-2</v>
      </c>
      <c r="V37" s="24">
        <v>0.1</v>
      </c>
      <c r="W37" s="109">
        <f t="shared" si="18"/>
        <v>2.0965062524953559E-2</v>
      </c>
      <c r="X37" s="109">
        <f t="shared" si="19"/>
        <v>6.3128953130726639E-2</v>
      </c>
      <c r="Y37" s="109">
        <f t="shared" si="20"/>
        <v>5.1478644029085974E-3</v>
      </c>
      <c r="Z37" s="203">
        <f t="shared" si="21"/>
        <v>1.0758119941411737E-2</v>
      </c>
    </row>
    <row r="38" spans="2:26">
      <c r="B38" s="105">
        <v>0.15</v>
      </c>
      <c r="C38" s="106">
        <f t="shared" si="22"/>
        <v>5015752.5037324391</v>
      </c>
      <c r="D38" s="105">
        <f t="shared" si="15"/>
        <v>3.5238605200590412E-2</v>
      </c>
      <c r="E38" s="105">
        <f t="shared" si="23"/>
        <v>3.1447593787430339E-2</v>
      </c>
      <c r="G38" s="105">
        <v>0.15</v>
      </c>
      <c r="H38" s="106">
        <f t="shared" si="9"/>
        <v>15103184.373839622</v>
      </c>
      <c r="I38" s="105">
        <f t="shared" si="16"/>
        <v>0.10610873463661008</v>
      </c>
      <c r="J38" s="105">
        <f t="shared" si="24"/>
        <v>9.4693429696089515E-2</v>
      </c>
      <c r="L38" s="105">
        <v>0.15</v>
      </c>
      <c r="M38" s="106">
        <f t="shared" si="11"/>
        <v>1231592.5</v>
      </c>
      <c r="N38" s="105">
        <f t="shared" si="17"/>
        <v>8.6526601627996413E-3</v>
      </c>
      <c r="O38" s="105">
        <f t="shared" si="25"/>
        <v>7.721796604362785E-3</v>
      </c>
      <c r="Q38" s="105">
        <v>0.15</v>
      </c>
      <c r="R38" s="106">
        <f t="shared" si="13"/>
        <v>2573809.02</v>
      </c>
      <c r="S38" s="104"/>
      <c r="T38" s="202">
        <f t="shared" si="14"/>
        <v>1.6137179912117494E-2</v>
      </c>
      <c r="V38" s="24">
        <v>0.15</v>
      </c>
      <c r="W38" s="109">
        <f t="shared" si="18"/>
        <v>3.1447593787430339E-2</v>
      </c>
      <c r="X38" s="109">
        <f t="shared" si="19"/>
        <v>9.4693429696089515E-2</v>
      </c>
      <c r="Y38" s="109">
        <f t="shared" si="20"/>
        <v>7.721796604362785E-3</v>
      </c>
      <c r="Z38" s="203">
        <f t="shared" si="21"/>
        <v>1.6137179912117494E-2</v>
      </c>
    </row>
    <row r="39" spans="2:26">
      <c r="B39" s="105">
        <v>0.2</v>
      </c>
      <c r="C39" s="106">
        <f t="shared" si="22"/>
        <v>5233828.6995468931</v>
      </c>
      <c r="D39" s="105">
        <f t="shared" si="15"/>
        <v>4.6984806934120327E-2</v>
      </c>
      <c r="E39" s="105">
        <f t="shared" si="23"/>
        <v>4.1930125049906897E-2</v>
      </c>
      <c r="G39" s="105">
        <v>0.2</v>
      </c>
      <c r="H39" s="106">
        <f t="shared" si="9"/>
        <v>15759844.564006563</v>
      </c>
      <c r="I39" s="105">
        <f t="shared" si="16"/>
        <v>0.14147831284881374</v>
      </c>
      <c r="J39" s="105">
        <f t="shared" si="24"/>
        <v>0.12625790626145283</v>
      </c>
      <c r="L39" s="105">
        <v>0.2</v>
      </c>
      <c r="M39" s="106">
        <f t="shared" si="11"/>
        <v>1285140</v>
      </c>
      <c r="N39" s="105">
        <f t="shared" si="17"/>
        <v>1.1536880217066114E-2</v>
      </c>
      <c r="O39" s="105">
        <f t="shared" si="25"/>
        <v>1.0295728805817195E-2</v>
      </c>
      <c r="Q39" s="105">
        <v>0.2</v>
      </c>
      <c r="R39" s="106">
        <f t="shared" si="13"/>
        <v>2685713.7600000002</v>
      </c>
      <c r="S39" s="104"/>
      <c r="T39" s="202">
        <f t="shared" si="14"/>
        <v>2.1516239882823252E-2</v>
      </c>
      <c r="V39" s="24">
        <v>0.2</v>
      </c>
      <c r="W39" s="109">
        <f t="shared" si="18"/>
        <v>4.1930125049906897E-2</v>
      </c>
      <c r="X39" s="109">
        <f t="shared" si="19"/>
        <v>0.12625790626145283</v>
      </c>
      <c r="Y39" s="109">
        <f t="shared" si="20"/>
        <v>1.0295728805817195E-2</v>
      </c>
      <c r="Z39" s="203">
        <f t="shared" si="21"/>
        <v>2.1516239882823252E-2</v>
      </c>
    </row>
    <row r="40" spans="2:26">
      <c r="B40" s="105">
        <v>0.25</v>
      </c>
      <c r="C40" s="106">
        <f t="shared" si="22"/>
        <v>5451904.8953613471</v>
      </c>
      <c r="D40" s="105">
        <f t="shared" si="15"/>
        <v>5.8731008667650686E-2</v>
      </c>
      <c r="E40" s="105">
        <f t="shared" si="23"/>
        <v>5.2412656312383898E-2</v>
      </c>
      <c r="G40" s="105">
        <v>0.25</v>
      </c>
      <c r="H40" s="106">
        <f t="shared" si="9"/>
        <v>16416504.754173504</v>
      </c>
      <c r="I40" s="105">
        <f t="shared" si="16"/>
        <v>0.17684789106101695</v>
      </c>
      <c r="J40" s="105">
        <f t="shared" si="24"/>
        <v>0.15782238282681593</v>
      </c>
      <c r="L40" s="105">
        <v>0.25</v>
      </c>
      <c r="M40" s="106">
        <f t="shared" si="11"/>
        <v>1338687.5</v>
      </c>
      <c r="N40" s="105">
        <f t="shared" si="17"/>
        <v>1.4421100271332588E-2</v>
      </c>
      <c r="O40" s="105">
        <f t="shared" si="25"/>
        <v>1.2869661007271382E-2</v>
      </c>
      <c r="Q40" s="105">
        <v>0.25</v>
      </c>
      <c r="R40" s="106">
        <f t="shared" si="13"/>
        <v>2797618.5000000005</v>
      </c>
      <c r="S40" s="104"/>
      <c r="T40" s="202">
        <f t="shared" si="14"/>
        <v>2.6895299853529009E-2</v>
      </c>
      <c r="V40" s="24">
        <v>0.25</v>
      </c>
      <c r="W40" s="109">
        <f t="shared" si="18"/>
        <v>5.2412656312383898E-2</v>
      </c>
      <c r="X40" s="109">
        <f t="shared" si="19"/>
        <v>0.15782238282681593</v>
      </c>
      <c r="Y40" s="109">
        <f t="shared" si="20"/>
        <v>1.2869661007271382E-2</v>
      </c>
      <c r="Z40" s="203">
        <f t="shared" si="21"/>
        <v>2.6895299853529009E-2</v>
      </c>
    </row>
    <row r="41" spans="2:26">
      <c r="B41" s="105">
        <v>0.3</v>
      </c>
      <c r="C41" s="106">
        <f t="shared" si="22"/>
        <v>5669981.0911758021</v>
      </c>
      <c r="D41" s="105">
        <f t="shared" si="15"/>
        <v>7.0477210401180601E-2</v>
      </c>
      <c r="E41" s="105">
        <f t="shared" si="23"/>
        <v>6.2895187574860678E-2</v>
      </c>
      <c r="G41" s="105">
        <v>0.3</v>
      </c>
      <c r="H41" s="106">
        <f t="shared" si="9"/>
        <v>17073164.944340445</v>
      </c>
      <c r="I41" s="105">
        <f t="shared" si="16"/>
        <v>0.21221746927322038</v>
      </c>
      <c r="J41" s="105">
        <f t="shared" si="24"/>
        <v>0.18938685939217903</v>
      </c>
      <c r="L41" s="105">
        <v>0.3</v>
      </c>
      <c r="M41" s="106">
        <f t="shared" si="11"/>
        <v>1392235</v>
      </c>
      <c r="N41" s="105">
        <f t="shared" si="17"/>
        <v>1.7305320325599061E-2</v>
      </c>
      <c r="O41" s="105">
        <f t="shared" si="25"/>
        <v>1.5443593208725792E-2</v>
      </c>
      <c r="Q41" s="105">
        <v>0.3</v>
      </c>
      <c r="R41" s="106">
        <f t="shared" si="13"/>
        <v>2909523.2400000007</v>
      </c>
      <c r="S41" s="104"/>
      <c r="T41" s="202">
        <f t="shared" si="14"/>
        <v>3.2274359824234988E-2</v>
      </c>
      <c r="V41" s="24">
        <v>0.3</v>
      </c>
      <c r="W41" s="109">
        <f t="shared" si="18"/>
        <v>6.2895187574860678E-2</v>
      </c>
      <c r="X41" s="109">
        <f t="shared" si="19"/>
        <v>0.18938685939217903</v>
      </c>
      <c r="Y41" s="109">
        <f t="shared" si="20"/>
        <v>1.5443593208725792E-2</v>
      </c>
      <c r="Z41" s="203">
        <f t="shared" si="21"/>
        <v>3.2274359824234988E-2</v>
      </c>
    </row>
  </sheetData>
  <mergeCells count="1">
    <mergeCell ref="B11:D11"/>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8E441-DF18-4DB9-995F-B551BC68385B}">
  <sheetPr>
    <tabColor theme="4" tint="0.39997558519241921"/>
  </sheetPr>
  <dimension ref="A1:E5"/>
  <sheetViews>
    <sheetView showGridLines="0" workbookViewId="0">
      <selection activeCell="A10" sqref="A10"/>
    </sheetView>
  </sheetViews>
  <sheetFormatPr defaultRowHeight="14.25"/>
  <sheetData>
    <row r="1" spans="1:5">
      <c r="A1" t="s">
        <v>532</v>
      </c>
      <c r="C1" t="s">
        <v>533</v>
      </c>
      <c r="E1" t="s">
        <v>534</v>
      </c>
    </row>
    <row r="2" spans="1:5">
      <c r="A2" t="s">
        <v>535</v>
      </c>
      <c r="C2" t="s">
        <v>536</v>
      </c>
      <c r="E2" t="s">
        <v>537</v>
      </c>
    </row>
    <row r="3" spans="1:5">
      <c r="C3" t="s">
        <v>101</v>
      </c>
      <c r="E3" t="s">
        <v>538</v>
      </c>
    </row>
    <row r="4" spans="1:5">
      <c r="E4" t="s">
        <v>539</v>
      </c>
    </row>
    <row r="5" spans="1:5">
      <c r="E5" t="s">
        <v>540</v>
      </c>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33198-1A2A-488F-B182-2AA674BFD52F}">
  <sheetPr>
    <tabColor theme="4"/>
  </sheetPr>
  <dimension ref="A1:E65"/>
  <sheetViews>
    <sheetView zoomScaleNormal="100" workbookViewId="0">
      <pane xSplit="5" ySplit="4" topLeftCell="F5" activePane="bottomRight" state="frozen"/>
      <selection pane="topRight" activeCell="E1" sqref="E1"/>
      <selection pane="bottomLeft" activeCell="A5" sqref="A5"/>
      <selection pane="bottomRight" activeCell="D5" sqref="D5"/>
    </sheetView>
  </sheetViews>
  <sheetFormatPr defaultRowHeight="14.25"/>
  <cols>
    <col min="2" max="2" width="22.875" bestFit="1" customWidth="1"/>
    <col min="3" max="3" width="29.125" customWidth="1"/>
    <col min="4" max="4" width="40.125" bestFit="1" customWidth="1"/>
  </cols>
  <sheetData>
    <row r="1" spans="1:5" ht="45" customHeight="1">
      <c r="A1" s="1" t="s">
        <v>541</v>
      </c>
      <c r="B1" s="1"/>
    </row>
    <row r="2" spans="1:5" ht="18">
      <c r="B2" s="3" t="s">
        <v>542</v>
      </c>
      <c r="C2" s="1" t="s">
        <v>543</v>
      </c>
    </row>
    <row r="4" spans="1:5" ht="15">
      <c r="B4" s="14" t="s">
        <v>172</v>
      </c>
      <c r="C4" s="2" t="s">
        <v>172</v>
      </c>
      <c r="D4" s="2" t="s">
        <v>370</v>
      </c>
      <c r="E4" s="14" t="s">
        <v>176</v>
      </c>
    </row>
    <row r="5" spans="1:5" ht="57">
      <c r="B5" s="15" t="s">
        <v>190</v>
      </c>
      <c r="C5" s="4" t="s">
        <v>544</v>
      </c>
      <c r="D5" t="s">
        <v>545</v>
      </c>
      <c r="E5" t="s">
        <v>207</v>
      </c>
    </row>
    <row r="6" spans="1:5">
      <c r="C6" s="4"/>
      <c r="D6" t="s">
        <v>546</v>
      </c>
      <c r="E6" t="s">
        <v>207</v>
      </c>
    </row>
    <row r="7" spans="1:5">
      <c r="C7" s="4"/>
      <c r="D7" t="s">
        <v>547</v>
      </c>
      <c r="E7" t="s">
        <v>207</v>
      </c>
    </row>
    <row r="8" spans="1:5">
      <c r="C8" s="4"/>
      <c r="D8" t="s">
        <v>548</v>
      </c>
      <c r="E8" t="s">
        <v>207</v>
      </c>
    </row>
    <row r="9" spans="1:5">
      <c r="C9" s="4"/>
      <c r="D9" s="17" t="s">
        <v>549</v>
      </c>
      <c r="E9" s="17" t="s">
        <v>207</v>
      </c>
    </row>
    <row r="10" spans="1:5">
      <c r="C10" s="4"/>
      <c r="D10" t="s">
        <v>550</v>
      </c>
      <c r="E10" t="s">
        <v>207</v>
      </c>
    </row>
    <row r="11" spans="1:5">
      <c r="C11" s="4"/>
      <c r="D11" t="s">
        <v>551</v>
      </c>
      <c r="E11" t="s">
        <v>207</v>
      </c>
    </row>
    <row r="12" spans="1:5">
      <c r="C12" s="4" t="s">
        <v>552</v>
      </c>
      <c r="D12" t="s">
        <v>553</v>
      </c>
      <c r="E12" t="s">
        <v>207</v>
      </c>
    </row>
    <row r="13" spans="1:5">
      <c r="C13" s="4"/>
      <c r="D13" t="s">
        <v>554</v>
      </c>
      <c r="E13" t="s">
        <v>207</v>
      </c>
    </row>
    <row r="14" spans="1:5">
      <c r="C14" s="4" t="s">
        <v>555</v>
      </c>
      <c r="E14" t="s">
        <v>217</v>
      </c>
    </row>
    <row r="15" spans="1:5">
      <c r="C15" s="4" t="s">
        <v>556</v>
      </c>
      <c r="D15" t="s">
        <v>557</v>
      </c>
      <c r="E15" t="s">
        <v>223</v>
      </c>
    </row>
    <row r="16" spans="1:5">
      <c r="C16" s="4"/>
      <c r="D16" t="s">
        <v>558</v>
      </c>
      <c r="E16" t="s">
        <v>207</v>
      </c>
    </row>
    <row r="17" spans="3:5">
      <c r="C17" s="4"/>
      <c r="D17" t="s">
        <v>559</v>
      </c>
      <c r="E17" t="s">
        <v>207</v>
      </c>
    </row>
    <row r="18" spans="3:5">
      <c r="C18" s="4"/>
      <c r="D18" t="s">
        <v>560</v>
      </c>
      <c r="E18" t="s">
        <v>207</v>
      </c>
    </row>
    <row r="19" spans="3:5">
      <c r="C19" s="4"/>
      <c r="D19" t="s">
        <v>561</v>
      </c>
      <c r="E19" t="s">
        <v>207</v>
      </c>
    </row>
    <row r="20" spans="3:5" ht="28.5">
      <c r="C20" s="4"/>
      <c r="D20" s="15" t="s">
        <v>562</v>
      </c>
      <c r="E20" t="s">
        <v>229</v>
      </c>
    </row>
    <row r="21" spans="3:5">
      <c r="C21" s="4" t="s">
        <v>563</v>
      </c>
      <c r="D21" t="s">
        <v>564</v>
      </c>
      <c r="E21" t="s">
        <v>223</v>
      </c>
    </row>
    <row r="22" spans="3:5">
      <c r="C22" s="4"/>
      <c r="D22" t="s">
        <v>565</v>
      </c>
      <c r="E22" t="s">
        <v>223</v>
      </c>
    </row>
    <row r="23" spans="3:5">
      <c r="C23" s="4"/>
      <c r="D23" t="s">
        <v>566</v>
      </c>
      <c r="E23" s="17" t="s">
        <v>567</v>
      </c>
    </row>
    <row r="24" spans="3:5">
      <c r="C24" s="4" t="s">
        <v>568</v>
      </c>
      <c r="D24" t="s">
        <v>569</v>
      </c>
      <c r="E24" t="s">
        <v>229</v>
      </c>
    </row>
    <row r="25" spans="3:5">
      <c r="D25" t="s">
        <v>570</v>
      </c>
      <c r="E25" t="s">
        <v>229</v>
      </c>
    </row>
    <row r="26" spans="3:5">
      <c r="D26" t="s">
        <v>571</v>
      </c>
      <c r="E26" t="s">
        <v>207</v>
      </c>
    </row>
    <row r="27" spans="3:5">
      <c r="C27" t="s">
        <v>572</v>
      </c>
      <c r="D27" t="s">
        <v>573</v>
      </c>
      <c r="E27" t="s">
        <v>229</v>
      </c>
    </row>
    <row r="28" spans="3:5">
      <c r="D28" t="s">
        <v>574</v>
      </c>
      <c r="E28" t="s">
        <v>223</v>
      </c>
    </row>
    <row r="29" spans="3:5">
      <c r="D29" t="s">
        <v>575</v>
      </c>
      <c r="E29" t="s">
        <v>229</v>
      </c>
    </row>
    <row r="30" spans="3:5" ht="28.5">
      <c r="C30" t="s">
        <v>576</v>
      </c>
      <c r="D30" s="15" t="s">
        <v>577</v>
      </c>
      <c r="E30" t="s">
        <v>207</v>
      </c>
    </row>
    <row r="31" spans="3:5">
      <c r="D31" t="s">
        <v>578</v>
      </c>
      <c r="E31" t="s">
        <v>229</v>
      </c>
    </row>
    <row r="32" spans="3:5">
      <c r="D32" t="s">
        <v>579</v>
      </c>
      <c r="E32" t="s">
        <v>229</v>
      </c>
    </row>
    <row r="33" spans="3:5">
      <c r="D33" t="s">
        <v>580</v>
      </c>
      <c r="E33" t="s">
        <v>229</v>
      </c>
    </row>
    <row r="34" spans="3:5">
      <c r="D34" t="s">
        <v>581</v>
      </c>
      <c r="E34" t="s">
        <v>207</v>
      </c>
    </row>
    <row r="35" spans="3:5" ht="28.5">
      <c r="D35" s="15" t="s">
        <v>582</v>
      </c>
      <c r="E35" t="s">
        <v>207</v>
      </c>
    </row>
    <row r="36" spans="3:5">
      <c r="C36" t="s">
        <v>583</v>
      </c>
      <c r="D36" t="s">
        <v>584</v>
      </c>
      <c r="E36" t="s">
        <v>229</v>
      </c>
    </row>
    <row r="37" spans="3:5">
      <c r="D37" t="s">
        <v>585</v>
      </c>
      <c r="E37" t="s">
        <v>229</v>
      </c>
    </row>
    <row r="38" spans="3:5">
      <c r="D38" t="s">
        <v>586</v>
      </c>
      <c r="E38" t="s">
        <v>229</v>
      </c>
    </row>
    <row r="39" spans="3:5">
      <c r="C39" t="s">
        <v>587</v>
      </c>
      <c r="D39" t="s">
        <v>588</v>
      </c>
      <c r="E39" t="s">
        <v>229</v>
      </c>
    </row>
    <row r="40" spans="3:5" ht="28.5">
      <c r="D40" s="15" t="s">
        <v>589</v>
      </c>
      <c r="E40" t="s">
        <v>229</v>
      </c>
    </row>
    <row r="41" spans="3:5">
      <c r="C41" t="s">
        <v>590</v>
      </c>
      <c r="D41" t="s">
        <v>591</v>
      </c>
      <c r="E41" t="s">
        <v>229</v>
      </c>
    </row>
    <row r="42" spans="3:5">
      <c r="D42" t="s">
        <v>592</v>
      </c>
      <c r="E42" t="s">
        <v>229</v>
      </c>
    </row>
    <row r="43" spans="3:5">
      <c r="C43" t="s">
        <v>593</v>
      </c>
      <c r="D43" t="s">
        <v>594</v>
      </c>
      <c r="E43" t="s">
        <v>229</v>
      </c>
    </row>
    <row r="44" spans="3:5">
      <c r="D44" t="s">
        <v>595</v>
      </c>
      <c r="E44" t="s">
        <v>229</v>
      </c>
    </row>
    <row r="45" spans="3:5">
      <c r="D45" t="s">
        <v>596</v>
      </c>
      <c r="E45" t="s">
        <v>229</v>
      </c>
    </row>
    <row r="46" spans="3:5">
      <c r="D46" t="s">
        <v>597</v>
      </c>
      <c r="E46" t="s">
        <v>229</v>
      </c>
    </row>
    <row r="47" spans="3:5">
      <c r="C47" t="s">
        <v>598</v>
      </c>
      <c r="D47" t="s">
        <v>599</v>
      </c>
      <c r="E47" t="s">
        <v>229</v>
      </c>
    </row>
    <row r="48" spans="3:5">
      <c r="C48" t="s">
        <v>600</v>
      </c>
      <c r="D48" t="s">
        <v>601</v>
      </c>
      <c r="E48" t="s">
        <v>370</v>
      </c>
    </row>
    <row r="51" spans="3:5" ht="15">
      <c r="C51" s="14" t="s">
        <v>602</v>
      </c>
    </row>
    <row r="52" spans="3:5">
      <c r="C52" s="4" t="s">
        <v>544</v>
      </c>
      <c r="D52" s="18" t="e">
        <f>SUM(#REF!)</f>
        <v>#REF!</v>
      </c>
      <c r="E52" s="12" t="s">
        <v>92</v>
      </c>
    </row>
    <row r="53" spans="3:5">
      <c r="C53" s="4" t="s">
        <v>552</v>
      </c>
      <c r="D53" s="18" t="e">
        <f>SUM(#REF!)</f>
        <v>#REF!</v>
      </c>
      <c r="E53" s="12" t="s">
        <v>92</v>
      </c>
    </row>
    <row r="54" spans="3:5">
      <c r="C54" s="4" t="s">
        <v>555</v>
      </c>
      <c r="D54" s="18" t="e">
        <f>SUM(#REF!)</f>
        <v>#REF!</v>
      </c>
      <c r="E54" s="12" t="s">
        <v>92</v>
      </c>
    </row>
    <row r="55" spans="3:5">
      <c r="C55" s="4" t="s">
        <v>556</v>
      </c>
      <c r="D55" s="18" t="e">
        <f>SUM(#REF!)</f>
        <v>#REF!</v>
      </c>
      <c r="E55" s="12" t="s">
        <v>92</v>
      </c>
    </row>
    <row r="56" spans="3:5">
      <c r="C56" s="4" t="s">
        <v>563</v>
      </c>
      <c r="D56" s="18" t="e">
        <f>SUM(#REF!)</f>
        <v>#REF!</v>
      </c>
      <c r="E56" s="12" t="s">
        <v>92</v>
      </c>
    </row>
    <row r="57" spans="3:5">
      <c r="C57" s="4" t="s">
        <v>568</v>
      </c>
      <c r="D57" s="18" t="e">
        <f>SUM(#REF!)</f>
        <v>#REF!</v>
      </c>
      <c r="E57" s="12" t="s">
        <v>92</v>
      </c>
    </row>
    <row r="58" spans="3:5">
      <c r="C58" t="s">
        <v>572</v>
      </c>
      <c r="D58" s="18" t="e">
        <f>SUM(#REF!)</f>
        <v>#REF!</v>
      </c>
      <c r="E58" s="12" t="s">
        <v>92</v>
      </c>
    </row>
    <row r="59" spans="3:5">
      <c r="C59" t="s">
        <v>576</v>
      </c>
      <c r="D59" s="18" t="e">
        <f>SUM(#REF!)</f>
        <v>#REF!</v>
      </c>
      <c r="E59" s="12" t="s">
        <v>92</v>
      </c>
    </row>
    <row r="60" spans="3:5">
      <c r="C60" t="s">
        <v>583</v>
      </c>
      <c r="D60" s="18" t="e">
        <f>SUM(#REF!)</f>
        <v>#REF!</v>
      </c>
      <c r="E60" s="12" t="s">
        <v>92</v>
      </c>
    </row>
    <row r="61" spans="3:5">
      <c r="C61" t="s">
        <v>587</v>
      </c>
      <c r="D61" s="18" t="e">
        <f>SUM(#REF!)</f>
        <v>#REF!</v>
      </c>
      <c r="E61" s="12" t="s">
        <v>92</v>
      </c>
    </row>
    <row r="62" spans="3:5">
      <c r="C62" t="s">
        <v>590</v>
      </c>
      <c r="D62" s="18" t="e">
        <f>SUM(#REF!)</f>
        <v>#REF!</v>
      </c>
      <c r="E62" s="12" t="s">
        <v>92</v>
      </c>
    </row>
    <row r="63" spans="3:5">
      <c r="C63" t="s">
        <v>593</v>
      </c>
      <c r="D63" s="18" t="e">
        <f>SUM(#REF!)</f>
        <v>#REF!</v>
      </c>
      <c r="E63" s="12" t="s">
        <v>92</v>
      </c>
    </row>
    <row r="64" spans="3:5">
      <c r="C64" t="s">
        <v>598</v>
      </c>
      <c r="D64" s="18" t="e">
        <f>SUM(#REF!)</f>
        <v>#REF!</v>
      </c>
      <c r="E64" s="12" t="s">
        <v>92</v>
      </c>
    </row>
    <row r="65" spans="3:5">
      <c r="C65" t="s">
        <v>600</v>
      </c>
      <c r="D65" s="18" t="e">
        <f>#REF!</f>
        <v>#REF!</v>
      </c>
      <c r="E65" s="12" t="s">
        <v>92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A6971-0A9C-4EE2-B6A3-923A97B84CAB}">
  <sheetPr>
    <tabColor theme="4" tint="0.59999389629810485"/>
  </sheetPr>
  <dimension ref="A1:P24"/>
  <sheetViews>
    <sheetView showGridLines="0" zoomScale="90" zoomScaleNormal="90" workbookViewId="0">
      <selection activeCell="C18" sqref="C18"/>
    </sheetView>
  </sheetViews>
  <sheetFormatPr defaultRowHeight="14.25"/>
  <cols>
    <col min="1" max="1" width="3" customWidth="1"/>
    <col min="2" max="2" width="12.625" style="205" customWidth="1"/>
    <col min="3" max="3" width="16.375" bestFit="1" customWidth="1"/>
    <col min="4" max="4" width="11.625" bestFit="1" customWidth="1"/>
  </cols>
  <sheetData>
    <row r="1" spans="1:16" ht="45" customHeight="1">
      <c r="A1" s="1"/>
    </row>
    <row r="2" spans="1:16" ht="18">
      <c r="B2" s="206" t="s">
        <v>12</v>
      </c>
    </row>
    <row r="4" spans="1:16" ht="18">
      <c r="B4" s="207"/>
      <c r="C4" s="11"/>
      <c r="D4" s="11"/>
      <c r="E4" s="11"/>
      <c r="F4" s="11"/>
      <c r="G4" s="11"/>
      <c r="H4" s="11"/>
      <c r="I4" s="11"/>
      <c r="J4" s="11"/>
      <c r="K4" s="11"/>
      <c r="L4" s="11"/>
      <c r="M4" s="11"/>
      <c r="N4" s="11"/>
      <c r="O4" s="11"/>
      <c r="P4" s="11"/>
    </row>
    <row r="6" spans="1:16">
      <c r="B6" s="205" t="s">
        <v>5</v>
      </c>
      <c r="C6" s="208" t="s">
        <v>13</v>
      </c>
      <c r="D6" t="s">
        <v>14</v>
      </c>
      <c r="E6" s="121" t="s">
        <v>15</v>
      </c>
    </row>
    <row r="7" spans="1:16">
      <c r="B7" s="205">
        <v>1</v>
      </c>
      <c r="C7" s="122">
        <v>44476</v>
      </c>
      <c r="D7" t="s">
        <v>16</v>
      </c>
      <c r="E7" t="s">
        <v>17</v>
      </c>
    </row>
    <row r="8" spans="1:16">
      <c r="B8" s="205">
        <v>2</v>
      </c>
      <c r="C8" s="122">
        <v>44480</v>
      </c>
      <c r="D8" t="s">
        <v>18</v>
      </c>
    </row>
    <row r="9" spans="1:16">
      <c r="B9" s="205">
        <v>3</v>
      </c>
      <c r="C9" s="122">
        <v>44482</v>
      </c>
      <c r="D9" t="s">
        <v>16</v>
      </c>
      <c r="E9" t="s">
        <v>19</v>
      </c>
    </row>
    <row r="10" spans="1:16">
      <c r="B10" s="205">
        <v>4</v>
      </c>
      <c r="C10" s="122">
        <v>44483</v>
      </c>
      <c r="D10" t="s">
        <v>16</v>
      </c>
      <c r="E10" t="s">
        <v>20</v>
      </c>
    </row>
    <row r="11" spans="1:16">
      <c r="B11" s="205">
        <v>5</v>
      </c>
      <c r="C11" s="122">
        <v>44484</v>
      </c>
      <c r="D11" t="s">
        <v>16</v>
      </c>
      <c r="E11" t="s">
        <v>21</v>
      </c>
    </row>
    <row r="12" spans="1:16">
      <c r="B12" s="205">
        <v>6</v>
      </c>
      <c r="C12" s="122">
        <v>44497</v>
      </c>
      <c r="D12" t="s">
        <v>18</v>
      </c>
      <c r="E12" t="s">
        <v>22</v>
      </c>
    </row>
    <row r="13" spans="1:16">
      <c r="B13" s="205">
        <v>7</v>
      </c>
      <c r="C13" s="122">
        <v>44516</v>
      </c>
      <c r="D13" t="s">
        <v>16</v>
      </c>
      <c r="E13" t="s">
        <v>23</v>
      </c>
    </row>
    <row r="14" spans="1:16">
      <c r="B14" s="205">
        <v>8</v>
      </c>
      <c r="C14" s="122">
        <v>44526</v>
      </c>
      <c r="D14" t="s">
        <v>16</v>
      </c>
      <c r="E14" t="s">
        <v>24</v>
      </c>
    </row>
    <row r="15" spans="1:16">
      <c r="B15" s="205">
        <v>9</v>
      </c>
      <c r="C15" s="122">
        <v>44530</v>
      </c>
      <c r="D15" t="s">
        <v>16</v>
      </c>
      <c r="E15" t="s">
        <v>25</v>
      </c>
    </row>
    <row r="16" spans="1:16">
      <c r="B16" s="245">
        <v>10</v>
      </c>
      <c r="C16" s="122">
        <v>44532</v>
      </c>
      <c r="D16" t="s">
        <v>16</v>
      </c>
      <c r="E16" t="s">
        <v>26</v>
      </c>
    </row>
    <row r="17" spans="2:5">
      <c r="B17" s="245">
        <v>11</v>
      </c>
      <c r="C17" s="122">
        <v>44537</v>
      </c>
      <c r="D17" t="s">
        <v>16</v>
      </c>
      <c r="E17" t="s">
        <v>27</v>
      </c>
    </row>
    <row r="18" spans="2:5">
      <c r="B18" s="245">
        <v>12</v>
      </c>
      <c r="C18" s="122">
        <v>44631</v>
      </c>
      <c r="D18" t="s">
        <v>16</v>
      </c>
      <c r="E18" t="s">
        <v>28</v>
      </c>
    </row>
    <row r="19" spans="2:5">
      <c r="B19" s="122"/>
    </row>
    <row r="20" spans="2:5">
      <c r="B20" s="122"/>
    </row>
    <row r="21" spans="2:5">
      <c r="B21" s="122"/>
    </row>
    <row r="22" spans="2:5">
      <c r="B22" s="122"/>
    </row>
    <row r="23" spans="2:5">
      <c r="B23" s="122"/>
    </row>
    <row r="24" spans="2:5">
      <c r="B24" s="122"/>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36C76-D477-483B-8F96-49C7AB04436B}">
  <sheetPr>
    <tabColor theme="4" tint="0.59999389629810485"/>
  </sheetPr>
  <dimension ref="A1:P26"/>
  <sheetViews>
    <sheetView showGridLines="0" zoomScale="90" zoomScaleNormal="90" workbookViewId="0">
      <selection activeCell="R21" sqref="R21"/>
    </sheetView>
  </sheetViews>
  <sheetFormatPr defaultRowHeight="14.25"/>
  <cols>
    <col min="1" max="1" width="3.125" customWidth="1"/>
    <col min="2" max="2" width="12" customWidth="1"/>
  </cols>
  <sheetData>
    <row r="1" spans="1:16">
      <c r="A1" s="1"/>
    </row>
    <row r="2" spans="1:16" ht="18">
      <c r="B2" s="3" t="s">
        <v>29</v>
      </c>
    </row>
    <row r="4" spans="1:16" ht="18">
      <c r="B4" s="10"/>
      <c r="C4" s="11"/>
      <c r="D4" s="11"/>
      <c r="E4" s="11"/>
      <c r="F4" s="11"/>
      <c r="G4" s="11"/>
      <c r="H4" s="11"/>
      <c r="I4" s="11"/>
      <c r="J4" s="11"/>
      <c r="K4" s="11"/>
      <c r="L4" s="11"/>
      <c r="M4" s="11"/>
      <c r="N4" s="11"/>
      <c r="O4" s="11"/>
      <c r="P4" s="11"/>
    </row>
    <row r="6" spans="1:16" ht="15">
      <c r="B6" s="2" t="s">
        <v>30</v>
      </c>
      <c r="C6" s="2"/>
    </row>
    <row r="7" spans="1:16">
      <c r="B7" s="4"/>
    </row>
    <row r="8" spans="1:16" ht="14.1" customHeight="1">
      <c r="B8" s="123"/>
      <c r="C8" t="s">
        <v>31</v>
      </c>
      <c r="G8" s="6"/>
      <c r="H8" t="s">
        <v>32</v>
      </c>
    </row>
    <row r="9" spans="1:16">
      <c r="B9" s="4"/>
    </row>
    <row r="10" spans="1:16">
      <c r="B10" s="125"/>
      <c r="C10" t="s">
        <v>33</v>
      </c>
      <c r="G10" s="8"/>
      <c r="H10" t="s">
        <v>34</v>
      </c>
    </row>
    <row r="11" spans="1:16">
      <c r="B11" s="4"/>
    </row>
    <row r="12" spans="1:16">
      <c r="B12" s="5"/>
      <c r="C12" t="s">
        <v>35</v>
      </c>
    </row>
    <row r="13" spans="1:16">
      <c r="B13" s="4"/>
    </row>
    <row r="14" spans="1:16">
      <c r="B14" s="7"/>
      <c r="C14" t="s">
        <v>36</v>
      </c>
    </row>
    <row r="15" spans="1:16">
      <c r="B15" s="4"/>
    </row>
    <row r="16" spans="1:16">
      <c r="B16" s="4"/>
    </row>
    <row r="17" spans="2:2" ht="15">
      <c r="B17" s="9" t="s">
        <v>37</v>
      </c>
    </row>
    <row r="18" spans="2:2">
      <c r="B18" s="4"/>
    </row>
    <row r="19" spans="2:2">
      <c r="B19" s="4"/>
    </row>
    <row r="20" spans="2:2">
      <c r="B20" s="4"/>
    </row>
    <row r="21" spans="2:2">
      <c r="B21" s="4"/>
    </row>
    <row r="22" spans="2:2">
      <c r="B22" s="4"/>
    </row>
    <row r="23" spans="2:2">
      <c r="B23" s="4"/>
    </row>
    <row r="24" spans="2:2">
      <c r="B24" s="4"/>
    </row>
    <row r="25" spans="2:2">
      <c r="B25" s="4"/>
    </row>
    <row r="26" spans="2:2">
      <c r="B26" s="4"/>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437DB-1DE6-4F49-BEEA-D63127AE3801}">
  <sheetPr>
    <tabColor theme="7"/>
  </sheetPr>
  <dimension ref="A1:P38"/>
  <sheetViews>
    <sheetView showGridLines="0" zoomScaleNormal="100" workbookViewId="0">
      <selection activeCell="B15" sqref="B15"/>
    </sheetView>
  </sheetViews>
  <sheetFormatPr defaultRowHeight="14.25"/>
  <cols>
    <col min="2" max="2" width="34.625" bestFit="1" customWidth="1"/>
    <col min="4" max="4" width="13.625" customWidth="1"/>
    <col min="5" max="5" width="55.625" customWidth="1"/>
    <col min="6" max="6" width="12.625" customWidth="1"/>
  </cols>
  <sheetData>
    <row r="1" spans="1:16">
      <c r="A1" s="1"/>
    </row>
    <row r="2" spans="1:16" ht="18">
      <c r="B2" s="3" t="s">
        <v>38</v>
      </c>
    </row>
    <row r="4" spans="1:16" ht="18">
      <c r="B4" s="131"/>
      <c r="C4" s="132"/>
      <c r="D4" s="132"/>
      <c r="E4" s="132"/>
      <c r="F4" s="132"/>
      <c r="G4" s="132"/>
      <c r="H4" s="132"/>
      <c r="I4" s="132"/>
      <c r="J4" s="132"/>
      <c r="K4" s="132"/>
      <c r="L4" s="132"/>
      <c r="M4" s="132"/>
      <c r="N4" s="132"/>
      <c r="O4" s="132"/>
      <c r="P4" s="132"/>
    </row>
    <row r="5" spans="1:16" ht="18">
      <c r="B5" s="3"/>
    </row>
    <row r="7" spans="1:16" ht="15">
      <c r="B7" t="s">
        <v>39</v>
      </c>
      <c r="C7" s="12" t="s">
        <v>40</v>
      </c>
      <c r="E7" t="s">
        <v>41</v>
      </c>
      <c r="H7" s="2"/>
    </row>
    <row r="9" spans="1:16">
      <c r="B9" s="4" t="s">
        <v>42</v>
      </c>
      <c r="C9" s="13">
        <v>40</v>
      </c>
      <c r="D9" s="12" t="s">
        <v>43</v>
      </c>
      <c r="E9" s="273" t="s">
        <v>44</v>
      </c>
      <c r="F9" s="274"/>
      <c r="G9" s="274"/>
      <c r="H9" s="274"/>
      <c r="I9" s="274"/>
      <c r="J9" s="274"/>
    </row>
    <row r="11" spans="1:16">
      <c r="B11" s="4" t="s">
        <v>45</v>
      </c>
      <c r="C11" s="35">
        <v>2023</v>
      </c>
    </row>
    <row r="12" spans="1:16">
      <c r="B12" s="4"/>
    </row>
    <row r="13" spans="1:16">
      <c r="B13" s="4" t="s">
        <v>46</v>
      </c>
      <c r="C13" s="16">
        <v>0.3</v>
      </c>
      <c r="E13" s="273" t="s">
        <v>44</v>
      </c>
      <c r="F13" s="274"/>
      <c r="G13" s="274"/>
      <c r="H13" s="274"/>
      <c r="I13" s="274"/>
      <c r="J13" s="274"/>
    </row>
    <row r="14" spans="1:16">
      <c r="B14" s="4"/>
    </row>
    <row r="15" spans="1:16" ht="29.25">
      <c r="B15" s="21" t="s">
        <v>47</v>
      </c>
      <c r="C15" s="22">
        <v>224</v>
      </c>
      <c r="D15" s="20"/>
      <c r="E15" s="273" t="s">
        <v>48</v>
      </c>
      <c r="F15" s="274"/>
      <c r="G15" s="274"/>
      <c r="H15" s="274"/>
      <c r="I15" s="274"/>
      <c r="J15" s="274"/>
    </row>
    <row r="16" spans="1:16">
      <c r="B16" s="4"/>
    </row>
    <row r="17" spans="1:10">
      <c r="B17" s="4" t="s">
        <v>49</v>
      </c>
      <c r="C17" s="224">
        <v>1634</v>
      </c>
      <c r="E17" s="273" t="s">
        <v>50</v>
      </c>
      <c r="F17" s="274"/>
      <c r="G17" s="274"/>
      <c r="H17" s="274"/>
      <c r="I17" s="274"/>
      <c r="J17" s="274"/>
    </row>
    <row r="18" spans="1:10">
      <c r="B18" s="4"/>
    </row>
    <row r="19" spans="1:10">
      <c r="B19" t="s">
        <v>51</v>
      </c>
      <c r="C19" s="22">
        <v>1430</v>
      </c>
      <c r="E19" s="273" t="s">
        <v>52</v>
      </c>
      <c r="F19" s="274"/>
      <c r="G19" s="274"/>
      <c r="H19" s="274"/>
      <c r="I19" s="274"/>
      <c r="J19" s="274"/>
    </row>
    <row r="20" spans="1:10">
      <c r="B20" s="4"/>
      <c r="G20" s="1"/>
    </row>
    <row r="21" spans="1:10">
      <c r="B21" s="4" t="s">
        <v>53</v>
      </c>
      <c r="C21" s="22">
        <f>C19*C25</f>
        <v>6577.9999999999991</v>
      </c>
      <c r="E21" s="273" t="s">
        <v>54</v>
      </c>
      <c r="F21" s="274"/>
      <c r="G21" s="274"/>
      <c r="H21" s="274"/>
      <c r="I21" s="274"/>
      <c r="J21" s="274"/>
    </row>
    <row r="22" spans="1:10">
      <c r="B22" s="4"/>
      <c r="G22" s="1"/>
    </row>
    <row r="23" spans="1:10">
      <c r="B23" t="s">
        <v>55</v>
      </c>
      <c r="C23" s="223">
        <f>C21+C17</f>
        <v>8212</v>
      </c>
      <c r="E23" s="273" t="s">
        <v>56</v>
      </c>
      <c r="F23" s="274"/>
      <c r="G23" s="274"/>
      <c r="H23" s="274"/>
      <c r="I23" s="274"/>
      <c r="J23" s="274"/>
    </row>
    <row r="24" spans="1:10" ht="18">
      <c r="B24" s="3"/>
      <c r="G24" s="1"/>
    </row>
    <row r="25" spans="1:10">
      <c r="B25" s="21" t="s">
        <v>57</v>
      </c>
      <c r="C25" s="22">
        <v>4.5999999999999996</v>
      </c>
      <c r="D25" s="12" t="s">
        <v>58</v>
      </c>
      <c r="E25" s="273" t="s">
        <v>59</v>
      </c>
      <c r="F25" s="274"/>
      <c r="G25" s="274"/>
      <c r="H25" s="274"/>
      <c r="I25" s="274"/>
      <c r="J25" s="274"/>
    </row>
    <row r="27" spans="1:10" hidden="1">
      <c r="A27" s="200" t="s">
        <v>60</v>
      </c>
      <c r="B27" t="s">
        <v>61</v>
      </c>
      <c r="C27" s="199">
        <v>5.6000000000000001E-2</v>
      </c>
      <c r="E27" s="8" t="s">
        <v>62</v>
      </c>
    </row>
    <row r="28" spans="1:10" hidden="1">
      <c r="A28" s="200" t="s">
        <v>60</v>
      </c>
      <c r="B28" t="s">
        <v>63</v>
      </c>
      <c r="C28" s="22">
        <v>10</v>
      </c>
      <c r="D28" s="12" t="s">
        <v>43</v>
      </c>
      <c r="E28" s="81"/>
    </row>
    <row r="29" spans="1:10" hidden="1">
      <c r="A29" s="200" t="s">
        <v>60</v>
      </c>
      <c r="B29" s="4" t="s">
        <v>64</v>
      </c>
      <c r="C29" s="16">
        <v>0.04</v>
      </c>
      <c r="E29" s="8" t="s">
        <v>65</v>
      </c>
    </row>
    <row r="30" spans="1:10" hidden="1">
      <c r="B30" s="4"/>
    </row>
    <row r="31" spans="1:10" ht="39.6" customHeight="1">
      <c r="B31" s="4" t="s">
        <v>66</v>
      </c>
      <c r="C31" s="214">
        <f>1/1000.252718</f>
        <v>9.9974734585025148E-4</v>
      </c>
      <c r="E31" s="273" t="s">
        <v>67</v>
      </c>
      <c r="F31" s="274"/>
      <c r="G31" s="274"/>
      <c r="H31" s="274"/>
      <c r="I31" s="274"/>
      <c r="J31" s="274"/>
    </row>
    <row r="32" spans="1:10">
      <c r="B32" s="4"/>
    </row>
    <row r="33" spans="2:10" ht="15">
      <c r="B33" s="14" t="s">
        <v>68</v>
      </c>
    </row>
    <row r="34" spans="2:10" ht="26.45" customHeight="1">
      <c r="B34" t="s">
        <v>69</v>
      </c>
      <c r="C34" s="16">
        <v>0.18</v>
      </c>
      <c r="E34" s="273" t="s">
        <v>70</v>
      </c>
      <c r="F34" s="274"/>
      <c r="G34" s="274"/>
      <c r="H34" s="274"/>
      <c r="I34" s="274"/>
      <c r="J34" s="274"/>
    </row>
    <row r="35" spans="2:10">
      <c r="B35" s="4" t="s">
        <v>71</v>
      </c>
      <c r="C35" s="16">
        <v>0.15</v>
      </c>
      <c r="E35" s="273" t="s">
        <v>72</v>
      </c>
      <c r="F35" s="274"/>
      <c r="G35" s="274"/>
      <c r="H35" s="274"/>
      <c r="I35" s="274"/>
      <c r="J35" s="274"/>
    </row>
    <row r="38" spans="2:10">
      <c r="B38" t="s">
        <v>73</v>
      </c>
      <c r="C38" s="35">
        <v>18</v>
      </c>
      <c r="D38" s="12" t="s">
        <v>74</v>
      </c>
      <c r="E38" s="273" t="s">
        <v>75</v>
      </c>
      <c r="F38" s="274"/>
      <c r="G38" s="274"/>
      <c r="H38" s="274"/>
      <c r="I38" s="274"/>
      <c r="J38" s="274"/>
    </row>
  </sheetData>
  <mergeCells count="12">
    <mergeCell ref="E38:J38"/>
    <mergeCell ref="E9:J9"/>
    <mergeCell ref="E13:J13"/>
    <mergeCell ref="E15:J15"/>
    <mergeCell ref="E17:J17"/>
    <mergeCell ref="E19:J19"/>
    <mergeCell ref="E21:J21"/>
    <mergeCell ref="E23:J23"/>
    <mergeCell ref="E25:J25"/>
    <mergeCell ref="E31:J31"/>
    <mergeCell ref="E34:J34"/>
    <mergeCell ref="E35:J3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F2B27-0B6F-4D02-A25C-BD45F7A3C73C}">
  <sheetPr>
    <tabColor theme="8"/>
  </sheetPr>
  <dimension ref="A1:AU52"/>
  <sheetViews>
    <sheetView showGridLines="0" zoomScale="70" zoomScaleNormal="70" workbookViewId="0">
      <selection activeCell="J46" sqref="J46"/>
    </sheetView>
  </sheetViews>
  <sheetFormatPr defaultRowHeight="14.25"/>
  <cols>
    <col min="2" max="2" width="4.625" customWidth="1"/>
    <col min="3" max="3" width="28.5" customWidth="1"/>
    <col min="4" max="4" width="10.125" customWidth="1"/>
    <col min="7" max="7" width="12.125" bestFit="1" customWidth="1"/>
  </cols>
  <sheetData>
    <row r="1" spans="1:47" ht="45" customHeight="1">
      <c r="A1" s="1"/>
    </row>
    <row r="2" spans="1:47" ht="18">
      <c r="B2" s="3" t="s">
        <v>76</v>
      </c>
    </row>
    <row r="4" spans="1:47" ht="18">
      <c r="B4" s="123"/>
      <c r="C4" s="124"/>
      <c r="D4" s="124"/>
      <c r="E4" s="124"/>
      <c r="F4" s="124"/>
      <c r="G4" s="124"/>
      <c r="H4" s="124"/>
      <c r="I4" s="124"/>
      <c r="J4" s="124"/>
      <c r="K4" s="124"/>
      <c r="L4" s="124"/>
      <c r="M4" s="124"/>
      <c r="N4" s="124"/>
      <c r="O4" s="124"/>
      <c r="P4" s="124"/>
    </row>
    <row r="5" spans="1:47">
      <c r="B5" s="4"/>
    </row>
    <row r="6" spans="1:47">
      <c r="G6" s="26" t="s">
        <v>77</v>
      </c>
      <c r="H6">
        <f>Assumptions!E8</f>
        <v>2023</v>
      </c>
      <c r="I6">
        <f>IF(H6&lt;Assumptions!$E$8+Dashboard!$C$9-1,H6+1,"")</f>
        <v>2024</v>
      </c>
      <c r="J6">
        <f>IF(I6&lt;Assumptions!$E$8+Dashboard!$C$9-1,I6+1,"")</f>
        <v>2025</v>
      </c>
      <c r="K6">
        <f>IF(J6&lt;Assumptions!$E$8+Dashboard!$C$9-1,J6+1,"")</f>
        <v>2026</v>
      </c>
      <c r="L6">
        <f>IF(K6&lt;Assumptions!$E$8+Dashboard!$C$9-1,K6+1,"")</f>
        <v>2027</v>
      </c>
      <c r="M6">
        <f>IF(L6&lt;Assumptions!$E$8+Dashboard!$C$9-1,L6+1,"")</f>
        <v>2028</v>
      </c>
      <c r="N6">
        <f>IF(M6&lt;Assumptions!$E$8+Dashboard!$C$9-1,M6+1,"")</f>
        <v>2029</v>
      </c>
      <c r="O6">
        <f>IF(N6&lt;Assumptions!$E$8+Dashboard!$C$9-1,N6+1,"")</f>
        <v>2030</v>
      </c>
      <c r="P6">
        <f>IF(O6&lt;Assumptions!$E$8+Dashboard!$C$9-1,O6+1,"")</f>
        <v>2031</v>
      </c>
      <c r="Q6">
        <f>IF(P6&lt;Assumptions!$E$8+Dashboard!$C$9-1,P6+1,"")</f>
        <v>2032</v>
      </c>
      <c r="R6">
        <f>IF(Q6&lt;Assumptions!$E$8+Dashboard!$C$9-1,Q6+1,"")</f>
        <v>2033</v>
      </c>
      <c r="S6">
        <f>IF(R6&lt;Assumptions!$E$8+Dashboard!$C$9-1,R6+1,"")</f>
        <v>2034</v>
      </c>
      <c r="T6">
        <f>IF(S6&lt;Assumptions!$E$8+Dashboard!$C$9-1,S6+1,"")</f>
        <v>2035</v>
      </c>
      <c r="U6">
        <f>IF(T6&lt;Assumptions!$E$8+Dashboard!$C$9-1,T6+1,"")</f>
        <v>2036</v>
      </c>
      <c r="V6">
        <f>IF(U6&lt;Assumptions!$E$8+Dashboard!$C$9-1,U6+1,"")</f>
        <v>2037</v>
      </c>
      <c r="W6">
        <f>IF(V6&lt;Assumptions!$E$8+Dashboard!$C$9-1,V6+1,"")</f>
        <v>2038</v>
      </c>
      <c r="X6">
        <f>IF(W6&lt;Assumptions!$E$8+Dashboard!$C$9-1,W6+1,"")</f>
        <v>2039</v>
      </c>
      <c r="Y6">
        <f>IF(X6&lt;Assumptions!$E$8+Dashboard!$C$9-1,X6+1,"")</f>
        <v>2040</v>
      </c>
      <c r="Z6">
        <f>IF(Y6&lt;Assumptions!$E$8+Dashboard!$C$9-1,Y6+1,"")</f>
        <v>2041</v>
      </c>
      <c r="AA6">
        <f>IF(Z6&lt;Assumptions!$E$8+Dashboard!$C$9-1,Z6+1,"")</f>
        <v>2042</v>
      </c>
      <c r="AB6">
        <f>IF(AA6&lt;Assumptions!$E$8+Dashboard!$C$9-1,AA6+1,"")</f>
        <v>2043</v>
      </c>
      <c r="AC6">
        <f>IF(AB6&lt;Assumptions!$E$8+Dashboard!$C$9-1,AB6+1,"")</f>
        <v>2044</v>
      </c>
      <c r="AD6">
        <f>IF(AC6&lt;Assumptions!$E$8+Dashboard!$C$9-1,AC6+1,"")</f>
        <v>2045</v>
      </c>
      <c r="AE6">
        <f>IF(AD6&lt;Assumptions!$E$8+Dashboard!$C$9-1,AD6+1,"")</f>
        <v>2046</v>
      </c>
      <c r="AF6">
        <f>IF(AE6&lt;Assumptions!$E$8+Dashboard!$C$9-1,AE6+1,"")</f>
        <v>2047</v>
      </c>
      <c r="AG6">
        <f>IF(AF6&lt;Assumptions!$E$8+Dashboard!$C$9-1,AF6+1,"")</f>
        <v>2048</v>
      </c>
      <c r="AH6">
        <f>IF(AG6&lt;Assumptions!$E$8+Dashboard!$C$9-1,AG6+1,"")</f>
        <v>2049</v>
      </c>
      <c r="AI6">
        <f>IF(AH6&lt;Assumptions!$E$8+Dashboard!$C$9-1,AH6+1,"")</f>
        <v>2050</v>
      </c>
      <c r="AJ6">
        <f>IF(AI6&lt;Assumptions!$E$8+Dashboard!$C$9-1,AI6+1,"")</f>
        <v>2051</v>
      </c>
      <c r="AK6">
        <f>IF(AJ6&lt;Assumptions!$E$8+Dashboard!$C$9-1,AJ6+1,"")</f>
        <v>2052</v>
      </c>
      <c r="AL6">
        <f>IF(AK6&lt;Assumptions!$E$8+Dashboard!$C$9-1,AK6+1,"")</f>
        <v>2053</v>
      </c>
      <c r="AM6">
        <f>IF(AL6&lt;Assumptions!$E$8+Dashboard!$C$9-1,AL6+1,"")</f>
        <v>2054</v>
      </c>
      <c r="AN6">
        <f>IF(AM6&lt;Assumptions!$E$8+Dashboard!$C$9-1,AM6+1,"")</f>
        <v>2055</v>
      </c>
      <c r="AO6">
        <f>IF(AN6&lt;Assumptions!$E$8+Dashboard!$C$9-1,AN6+1,"")</f>
        <v>2056</v>
      </c>
      <c r="AP6">
        <f>IF(AO6&lt;Assumptions!$E$8+Dashboard!$C$9-1,AO6+1,"")</f>
        <v>2057</v>
      </c>
      <c r="AQ6">
        <f>IF(AP6&lt;Assumptions!$E$8+Dashboard!$C$9-1,AP6+1,"")</f>
        <v>2058</v>
      </c>
      <c r="AR6">
        <f>IF(AQ6&lt;Assumptions!$E$8+Dashboard!$C$9-1,AQ6+1,"")</f>
        <v>2059</v>
      </c>
      <c r="AS6">
        <f>IF(AR6&lt;Assumptions!$E$8+Dashboard!$C$9-1,AR6+1,"")</f>
        <v>2060</v>
      </c>
      <c r="AT6">
        <f>IF(AS6&lt;Assumptions!$E$8+Dashboard!$C$9-1,AS6+1,"")</f>
        <v>2061</v>
      </c>
      <c r="AU6">
        <f>IF(AT6&lt;Assumptions!$E$8+Dashboard!$C$9-1,AT6+1,"")</f>
        <v>2062</v>
      </c>
    </row>
    <row r="7" spans="1:47">
      <c r="B7" s="4"/>
      <c r="G7" s="26" t="s">
        <v>78</v>
      </c>
      <c r="H7">
        <f>H6-Assumptions!$E$8+1</f>
        <v>1</v>
      </c>
      <c r="I7">
        <f>IF(I6&lt;Assumptions!$E$8+Dashboard!$C$9,H7+1,"")</f>
        <v>2</v>
      </c>
      <c r="J7">
        <f>IF(J6&lt;Assumptions!$E$8+Dashboard!$C$9,I7+1,"")</f>
        <v>3</v>
      </c>
      <c r="K7">
        <f>IF(K6&lt;Assumptions!$E$8+Dashboard!$C$9,J7+1,"")</f>
        <v>4</v>
      </c>
      <c r="L7">
        <f>IF(L6&lt;Assumptions!$E$8+Dashboard!$C$9,K7+1,"")</f>
        <v>5</v>
      </c>
      <c r="M7">
        <f>IF(M6&lt;Assumptions!$E$8+Dashboard!$C$9,L7+1,"")</f>
        <v>6</v>
      </c>
      <c r="N7">
        <f>IF(N6&lt;Assumptions!$E$8+Dashboard!$C$9,M7+1,"")</f>
        <v>7</v>
      </c>
      <c r="O7">
        <f>IF(O6&lt;Assumptions!$E$8+Dashboard!$C$9,N7+1,"")</f>
        <v>8</v>
      </c>
      <c r="P7">
        <f>IF(P6&lt;Assumptions!$E$8+Dashboard!$C$9,O7+1,"")</f>
        <v>9</v>
      </c>
      <c r="Q7">
        <f>IF(Q6&lt;Assumptions!$E$8+Dashboard!$C$9,P7+1,"")</f>
        <v>10</v>
      </c>
      <c r="R7">
        <f>IF(R6&lt;Assumptions!$E$8+Dashboard!$C$9,Q7+1,"")</f>
        <v>11</v>
      </c>
      <c r="S7">
        <f>IF(S6&lt;Assumptions!$E$8+Dashboard!$C$9,R7+1,"")</f>
        <v>12</v>
      </c>
      <c r="T7">
        <f>IF(T6&lt;Assumptions!$E$8+Dashboard!$C$9,S7+1,"")</f>
        <v>13</v>
      </c>
      <c r="U7">
        <f>IF(U6&lt;Assumptions!$E$8+Dashboard!$C$9,T7+1,"")</f>
        <v>14</v>
      </c>
      <c r="V7">
        <f>IF(V6&lt;Assumptions!$E$8+Dashboard!$C$9,U7+1,"")</f>
        <v>15</v>
      </c>
      <c r="W7">
        <f>IF(W6&lt;Assumptions!$E$8+Dashboard!$C$9,V7+1,"")</f>
        <v>16</v>
      </c>
      <c r="X7">
        <f>IF(X6&lt;Assumptions!$E$8+Dashboard!$C$9,W7+1,"")</f>
        <v>17</v>
      </c>
      <c r="Y7">
        <f>IF(Y6&lt;Assumptions!$E$8+Dashboard!$C$9,X7+1,"")</f>
        <v>18</v>
      </c>
      <c r="Z7">
        <f>IF(Z6&lt;Assumptions!$E$8+Dashboard!$C$9,Y7+1,"")</f>
        <v>19</v>
      </c>
      <c r="AA7">
        <f>IF(AA6&lt;Assumptions!$E$8+Dashboard!$C$9,Z7+1,"")</f>
        <v>20</v>
      </c>
      <c r="AB7">
        <f>IF(AB6&lt;Assumptions!$E$8+Dashboard!$C$9,AA7+1,"")</f>
        <v>21</v>
      </c>
      <c r="AC7">
        <f>IF(AC6&lt;Assumptions!$E$8+Dashboard!$C$9,AB7+1,"")</f>
        <v>22</v>
      </c>
      <c r="AD7">
        <f>IF(AD6&lt;Assumptions!$E$8+Dashboard!$C$9,AC7+1,"")</f>
        <v>23</v>
      </c>
      <c r="AE7">
        <f>IF(AE6&lt;Assumptions!$E$8+Dashboard!$C$9,AD7+1,"")</f>
        <v>24</v>
      </c>
      <c r="AF7">
        <f>IF(AF6&lt;Assumptions!$E$8+Dashboard!$C$9,AE7+1,"")</f>
        <v>25</v>
      </c>
      <c r="AG7">
        <f>IF(AG6&lt;Assumptions!$E$8+Dashboard!$C$9,AF7+1,"")</f>
        <v>26</v>
      </c>
      <c r="AH7">
        <f>IF(AH6&lt;Assumptions!$E$8+Dashboard!$C$9,AG7+1,"")</f>
        <v>27</v>
      </c>
      <c r="AI7">
        <f>IF(AI6&lt;Assumptions!$E$8+Dashboard!$C$9,AH7+1,"")</f>
        <v>28</v>
      </c>
      <c r="AJ7">
        <f>IF(AJ6&lt;Assumptions!$E$8+Dashboard!$C$9,AI7+1,"")</f>
        <v>29</v>
      </c>
      <c r="AK7">
        <f>IF(AK6&lt;Assumptions!$E$8+Dashboard!$C$9,AJ7+1,"")</f>
        <v>30</v>
      </c>
      <c r="AL7">
        <f>IF(AL6&lt;Assumptions!$E$8+Dashboard!$C$9,AK7+1,"")</f>
        <v>31</v>
      </c>
      <c r="AM7">
        <f>IF(AM6&lt;Assumptions!$E$8+Dashboard!$C$9,AL7+1,"")</f>
        <v>32</v>
      </c>
      <c r="AN7">
        <f>IF(AN6&lt;Assumptions!$E$8+Dashboard!$C$9,AM7+1,"")</f>
        <v>33</v>
      </c>
      <c r="AO7">
        <f>IF(AO6&lt;Assumptions!$E$8+Dashboard!$C$9,AN7+1,"")</f>
        <v>34</v>
      </c>
      <c r="AP7">
        <f>IF(AP6&lt;Assumptions!$E$8+Dashboard!$C$9,AO7+1,"")</f>
        <v>35</v>
      </c>
      <c r="AQ7">
        <f>IF(AQ6&lt;Assumptions!$E$8+Dashboard!$C$9,AP7+1,"")</f>
        <v>36</v>
      </c>
      <c r="AR7">
        <f>IF(AR6&lt;Assumptions!$E$8+Dashboard!$C$9,AQ7+1,"")</f>
        <v>37</v>
      </c>
      <c r="AS7">
        <f>IF(AS6&lt;Assumptions!$E$8+Dashboard!$C$9,AR7+1,"")</f>
        <v>38</v>
      </c>
      <c r="AT7">
        <f>IF(AT6&lt;Assumptions!$E$8+Dashboard!$C$9,AS7+1,"")</f>
        <v>39</v>
      </c>
      <c r="AU7">
        <f>IF(AU6&lt;Assumptions!$E$8+Dashboard!$C$9,AT7+1,"")</f>
        <v>40</v>
      </c>
    </row>
    <row r="8" spans="1:47">
      <c r="C8" s="4" t="s">
        <v>45</v>
      </c>
      <c r="D8" s="4"/>
      <c r="E8" s="25">
        <f>Dashboard!C11</f>
        <v>2023</v>
      </c>
    </row>
    <row r="9" spans="1:47">
      <c r="B9" s="4"/>
    </row>
    <row r="10" spans="1:47" ht="15" hidden="1">
      <c r="B10" s="14" t="s">
        <v>79</v>
      </c>
      <c r="C10" s="14"/>
      <c r="D10" s="14"/>
    </row>
    <row r="11" spans="1:47" ht="15" hidden="1">
      <c r="C11" s="14" t="s">
        <v>80</v>
      </c>
      <c r="D11" s="14"/>
    </row>
    <row r="12" spans="1:47" hidden="1">
      <c r="C12" t="s">
        <v>81</v>
      </c>
      <c r="D12" s="12" t="s">
        <v>82</v>
      </c>
      <c r="E12" s="34">
        <v>0.01</v>
      </c>
      <c r="F12" s="1" t="s">
        <v>83</v>
      </c>
      <c r="H12" s="24">
        <f t="shared" ref="H12:AU12" si="0">(1+$E$12)^(H$7-1)</f>
        <v>1</v>
      </c>
      <c r="I12" s="24">
        <f t="shared" si="0"/>
        <v>1.01</v>
      </c>
      <c r="J12" s="24">
        <f t="shared" si="0"/>
        <v>1.0201</v>
      </c>
      <c r="K12" s="24">
        <f t="shared" si="0"/>
        <v>1.0303009999999999</v>
      </c>
      <c r="L12" s="24">
        <f t="shared" si="0"/>
        <v>1.04060401</v>
      </c>
      <c r="M12" s="24">
        <f t="shared" si="0"/>
        <v>1.0510100500999999</v>
      </c>
      <c r="N12" s="24">
        <f t="shared" si="0"/>
        <v>1.0615201506010001</v>
      </c>
      <c r="O12" s="24">
        <f t="shared" si="0"/>
        <v>1.0721353521070098</v>
      </c>
      <c r="P12" s="24">
        <f t="shared" si="0"/>
        <v>1.0828567056280802</v>
      </c>
      <c r="Q12" s="24">
        <f t="shared" si="0"/>
        <v>1.0936852726843611</v>
      </c>
      <c r="R12" s="24">
        <f t="shared" si="0"/>
        <v>1.1046221254112047</v>
      </c>
      <c r="S12" s="24">
        <f t="shared" si="0"/>
        <v>1.1156683466653166</v>
      </c>
      <c r="T12" s="24">
        <f t="shared" si="0"/>
        <v>1.1268250301319698</v>
      </c>
      <c r="U12" s="24">
        <f t="shared" si="0"/>
        <v>1.1380932804332895</v>
      </c>
      <c r="V12" s="24">
        <f t="shared" si="0"/>
        <v>1.1494742132376226</v>
      </c>
      <c r="W12" s="24">
        <f t="shared" si="0"/>
        <v>1.1609689553699984</v>
      </c>
      <c r="X12" s="24">
        <f t="shared" si="0"/>
        <v>1.1725786449236988</v>
      </c>
      <c r="Y12" s="24">
        <f t="shared" si="0"/>
        <v>1.1843044313729358</v>
      </c>
      <c r="Z12" s="24">
        <f t="shared" si="0"/>
        <v>1.1961474756866652</v>
      </c>
      <c r="AA12" s="24">
        <f t="shared" si="0"/>
        <v>1.2081089504435316</v>
      </c>
      <c r="AB12" s="24">
        <f t="shared" si="0"/>
        <v>1.220190039947967</v>
      </c>
      <c r="AC12" s="24">
        <f t="shared" si="0"/>
        <v>1.2323919403474466</v>
      </c>
      <c r="AD12" s="24">
        <f t="shared" si="0"/>
        <v>1.2447158597509214</v>
      </c>
      <c r="AE12" s="24">
        <f t="shared" si="0"/>
        <v>1.2571630183484304</v>
      </c>
      <c r="AF12" s="24">
        <f t="shared" si="0"/>
        <v>1.269734648531915</v>
      </c>
      <c r="AG12" s="24">
        <f t="shared" si="0"/>
        <v>1.2824319950172343</v>
      </c>
      <c r="AH12" s="24">
        <f t="shared" si="0"/>
        <v>1.2952563149674066</v>
      </c>
      <c r="AI12" s="24">
        <f t="shared" si="0"/>
        <v>1.3082088781170802</v>
      </c>
      <c r="AJ12" s="24">
        <f t="shared" si="0"/>
        <v>1.3212909668982511</v>
      </c>
      <c r="AK12" s="24">
        <f t="shared" si="0"/>
        <v>1.3345038765672337</v>
      </c>
      <c r="AL12" s="24">
        <f t="shared" si="0"/>
        <v>1.3478489153329063</v>
      </c>
      <c r="AM12" s="24">
        <f t="shared" si="0"/>
        <v>1.3613274044862349</v>
      </c>
      <c r="AN12" s="24">
        <f t="shared" si="0"/>
        <v>1.3749406785310976</v>
      </c>
      <c r="AO12" s="24">
        <f t="shared" si="0"/>
        <v>1.3886900853164086</v>
      </c>
      <c r="AP12" s="24">
        <f t="shared" si="0"/>
        <v>1.4025769861695727</v>
      </c>
      <c r="AQ12" s="24">
        <f t="shared" si="0"/>
        <v>1.4166027560312682</v>
      </c>
      <c r="AR12" s="24">
        <f t="shared" si="0"/>
        <v>1.430768783591581</v>
      </c>
      <c r="AS12" s="24">
        <f t="shared" si="0"/>
        <v>1.4450764714274968</v>
      </c>
      <c r="AT12" s="24">
        <f t="shared" si="0"/>
        <v>1.4595272361417719</v>
      </c>
      <c r="AU12" s="24">
        <f t="shared" si="0"/>
        <v>1.4741225085031893</v>
      </c>
    </row>
    <row r="13" spans="1:47" hidden="1">
      <c r="B13" s="4"/>
      <c r="C13" t="s">
        <v>84</v>
      </c>
      <c r="D13" s="12" t="s">
        <v>82</v>
      </c>
      <c r="E13" s="34">
        <v>0.06</v>
      </c>
      <c r="F13" s="1" t="s">
        <v>83</v>
      </c>
      <c r="G13" s="1"/>
      <c r="H13" s="24">
        <f>(1+$E13)^(H$7-1)</f>
        <v>1</v>
      </c>
      <c r="I13" s="24">
        <f t="shared" ref="I13:AU14" si="1">(1+$E13)^(I$7-1)</f>
        <v>1.06</v>
      </c>
      <c r="J13" s="24">
        <f t="shared" si="1"/>
        <v>1.1236000000000002</v>
      </c>
      <c r="K13" s="24">
        <f t="shared" si="1"/>
        <v>1.1910160000000003</v>
      </c>
      <c r="L13" s="24">
        <f t="shared" si="1"/>
        <v>1.2624769600000003</v>
      </c>
      <c r="M13" s="24">
        <f t="shared" si="1"/>
        <v>1.3382255776000005</v>
      </c>
      <c r="N13" s="24">
        <f t="shared" si="1"/>
        <v>1.4185191122560006</v>
      </c>
      <c r="O13" s="24">
        <f t="shared" si="1"/>
        <v>1.5036302589913608</v>
      </c>
      <c r="P13" s="24">
        <f t="shared" si="1"/>
        <v>1.5938480745308423</v>
      </c>
      <c r="Q13" s="24">
        <f t="shared" si="1"/>
        <v>1.6894789590026928</v>
      </c>
      <c r="R13" s="24">
        <f t="shared" si="1"/>
        <v>1.7908476965428546</v>
      </c>
      <c r="S13" s="24">
        <f t="shared" si="1"/>
        <v>1.8982985583354262</v>
      </c>
      <c r="T13" s="24">
        <f t="shared" si="1"/>
        <v>2.0121964718355518</v>
      </c>
      <c r="U13" s="24">
        <f t="shared" si="1"/>
        <v>2.1329282601456852</v>
      </c>
      <c r="V13" s="24">
        <f t="shared" si="1"/>
        <v>2.2609039557544262</v>
      </c>
      <c r="W13" s="24">
        <f t="shared" si="1"/>
        <v>2.3965581930996924</v>
      </c>
      <c r="X13" s="24">
        <f t="shared" si="1"/>
        <v>2.5403516846856733</v>
      </c>
      <c r="Y13" s="24">
        <f t="shared" si="1"/>
        <v>2.692772785766814</v>
      </c>
      <c r="Z13" s="24">
        <f t="shared" si="1"/>
        <v>2.8543391529128228</v>
      </c>
      <c r="AA13" s="24">
        <f t="shared" si="1"/>
        <v>3.0255995020875925</v>
      </c>
      <c r="AB13" s="24">
        <f t="shared" si="1"/>
        <v>3.207135472212848</v>
      </c>
      <c r="AC13" s="24">
        <f t="shared" si="1"/>
        <v>3.3995636005456196</v>
      </c>
      <c r="AD13" s="24">
        <f t="shared" si="1"/>
        <v>3.6035374165783569</v>
      </c>
      <c r="AE13" s="24">
        <f t="shared" si="1"/>
        <v>3.8197496615730588</v>
      </c>
      <c r="AF13" s="24">
        <f t="shared" si="1"/>
        <v>4.0489346412674418</v>
      </c>
      <c r="AG13" s="24">
        <f t="shared" si="1"/>
        <v>4.2918707197434882</v>
      </c>
      <c r="AH13" s="24">
        <f t="shared" si="1"/>
        <v>4.5493829629280977</v>
      </c>
      <c r="AI13" s="24">
        <f t="shared" si="1"/>
        <v>4.8223459407037845</v>
      </c>
      <c r="AJ13" s="24">
        <f t="shared" si="1"/>
        <v>5.1116866971460118</v>
      </c>
      <c r="AK13" s="24">
        <f t="shared" si="1"/>
        <v>5.4183878989747729</v>
      </c>
      <c r="AL13" s="24">
        <f t="shared" si="1"/>
        <v>5.7434911729132594</v>
      </c>
      <c r="AM13" s="24">
        <f t="shared" si="1"/>
        <v>6.0881006432880564</v>
      </c>
      <c r="AN13" s="24">
        <f t="shared" si="1"/>
        <v>6.4533866818853385</v>
      </c>
      <c r="AO13" s="24">
        <f t="shared" si="1"/>
        <v>6.8405898827984588</v>
      </c>
      <c r="AP13" s="24">
        <f t="shared" si="1"/>
        <v>7.2510252757663674</v>
      </c>
      <c r="AQ13" s="24">
        <f t="shared" si="1"/>
        <v>7.6860867923123504</v>
      </c>
      <c r="AR13" s="24">
        <f t="shared" si="1"/>
        <v>8.1472519998510915</v>
      </c>
      <c r="AS13" s="24">
        <f t="shared" si="1"/>
        <v>8.6360871198421574</v>
      </c>
      <c r="AT13" s="24">
        <f t="shared" si="1"/>
        <v>9.1542523470326884</v>
      </c>
      <c r="AU13" s="24">
        <f t="shared" si="1"/>
        <v>9.703507487854651</v>
      </c>
    </row>
    <row r="14" spans="1:47" hidden="1">
      <c r="C14" t="s">
        <v>85</v>
      </c>
      <c r="D14" s="12" t="s">
        <v>82</v>
      </c>
      <c r="E14" s="133">
        <f>((1+E13)/(1+E12))-1</f>
        <v>4.9504950495049549E-2</v>
      </c>
      <c r="H14" s="24">
        <f>(1+$E14)^(H$7-1)</f>
        <v>1</v>
      </c>
      <c r="I14" s="24">
        <f t="shared" si="1"/>
        <v>1.0495049504950495</v>
      </c>
      <c r="J14" s="24">
        <f t="shared" si="1"/>
        <v>1.1014606411136163</v>
      </c>
      <c r="K14" s="24">
        <f t="shared" si="1"/>
        <v>1.1559883956241914</v>
      </c>
      <c r="L14" s="24">
        <f t="shared" si="1"/>
        <v>1.2132155439224186</v>
      </c>
      <c r="M14" s="24">
        <f t="shared" si="1"/>
        <v>1.2732757193641224</v>
      </c>
      <c r="N14" s="24">
        <f t="shared" si="1"/>
        <v>1.3363091708177919</v>
      </c>
      <c r="O14" s="24">
        <f t="shared" si="1"/>
        <v>1.4024630901652073</v>
      </c>
      <c r="P14" s="24">
        <f t="shared" si="1"/>
        <v>1.4718919560149699</v>
      </c>
      <c r="Q14" s="24">
        <f t="shared" si="1"/>
        <v>1.5447578944315528</v>
      </c>
      <c r="R14" s="24">
        <f t="shared" si="1"/>
        <v>1.6212310575222235</v>
      </c>
      <c r="S14" s="24">
        <f t="shared" si="1"/>
        <v>1.7014900207658981</v>
      </c>
      <c r="T14" s="24">
        <f t="shared" si="1"/>
        <v>1.7857222000117343</v>
      </c>
      <c r="U14" s="24">
        <f t="shared" si="1"/>
        <v>1.874124289121226</v>
      </c>
      <c r="V14" s="24">
        <f t="shared" si="1"/>
        <v>1.9669027192757422</v>
      </c>
      <c r="W14" s="24">
        <f t="shared" si="1"/>
        <v>2.0642741410220662</v>
      </c>
      <c r="X14" s="24">
        <f t="shared" si="1"/>
        <v>2.1664659301815741</v>
      </c>
      <c r="Y14" s="24">
        <f t="shared" si="1"/>
        <v>2.2737167188044243</v>
      </c>
      <c r="Z14" s="24">
        <f t="shared" si="1"/>
        <v>2.3862769524086036</v>
      </c>
      <c r="AA14" s="24">
        <f t="shared" si="1"/>
        <v>2.5044094748050694</v>
      </c>
      <c r="AB14" s="24">
        <f t="shared" si="1"/>
        <v>2.6283901418746267</v>
      </c>
      <c r="AC14" s="24">
        <f t="shared" si="1"/>
        <v>2.7585084657298062</v>
      </c>
      <c r="AD14" s="24">
        <f t="shared" si="1"/>
        <v>2.8950682907659355</v>
      </c>
      <c r="AE14" s="24">
        <f t="shared" si="1"/>
        <v>3.0383885031800908</v>
      </c>
      <c r="AF14" s="24">
        <f t="shared" si="1"/>
        <v>3.1888037756147485</v>
      </c>
      <c r="AG14" s="24">
        <f t="shared" si="1"/>
        <v>3.3466653486649838</v>
      </c>
      <c r="AH14" s="24">
        <f t="shared" si="1"/>
        <v>3.5123418510741411</v>
      </c>
      <c r="AI14" s="24">
        <f t="shared" si="1"/>
        <v>3.686220160533257</v>
      </c>
      <c r="AJ14" s="24">
        <f t="shared" si="1"/>
        <v>3.8687063070943091</v>
      </c>
      <c r="AK14" s="24">
        <f t="shared" si="1"/>
        <v>4.0602264213068979</v>
      </c>
      <c r="AL14" s="24">
        <f t="shared" si="1"/>
        <v>4.2612277292923881</v>
      </c>
      <c r="AM14" s="24">
        <f t="shared" si="1"/>
        <v>4.4721795970791405</v>
      </c>
      <c r="AN14" s="24">
        <f t="shared" si="1"/>
        <v>4.6935746266375133</v>
      </c>
      <c r="AO14" s="24">
        <f t="shared" si="1"/>
        <v>4.9259298061740244</v>
      </c>
      <c r="AP14" s="24">
        <f t="shared" si="1"/>
        <v>5.1697877173707578</v>
      </c>
      <c r="AQ14" s="24">
        <f t="shared" si="1"/>
        <v>5.4257178023891122</v>
      </c>
      <c r="AR14" s="24">
        <f t="shared" si="1"/>
        <v>5.6943176935964939</v>
      </c>
      <c r="AS14" s="24">
        <f t="shared" si="1"/>
        <v>5.9762146091210724</v>
      </c>
      <c r="AT14" s="24">
        <f t="shared" si="1"/>
        <v>6.2720668174934024</v>
      </c>
      <c r="AU14" s="24">
        <f t="shared" si="1"/>
        <v>6.5825651747950564</v>
      </c>
    </row>
    <row r="15" spans="1:47" hidden="1"/>
    <row r="16" spans="1:47" ht="15" hidden="1">
      <c r="B16" s="14" t="s">
        <v>86</v>
      </c>
      <c r="C16" s="14"/>
      <c r="D16" s="14"/>
    </row>
    <row r="17" spans="2:47" ht="15" hidden="1">
      <c r="C17" s="14" t="s">
        <v>80</v>
      </c>
      <c r="D17" s="14"/>
    </row>
    <row r="18" spans="2:47" hidden="1">
      <c r="C18" t="s">
        <v>81</v>
      </c>
      <c r="D18" s="12" t="s">
        <v>82</v>
      </c>
      <c r="E18" s="34">
        <v>0.04</v>
      </c>
      <c r="F18" s="1" t="s">
        <v>83</v>
      </c>
      <c r="H18" s="24">
        <f>(1+$E$18)^(H$7-1)</f>
        <v>1</v>
      </c>
      <c r="I18" s="24">
        <f t="shared" ref="I18:AU18" si="2">(1+$E$18)^(I$7-1)</f>
        <v>1.04</v>
      </c>
      <c r="J18" s="24">
        <f t="shared" si="2"/>
        <v>1.0816000000000001</v>
      </c>
      <c r="K18" s="24">
        <f t="shared" si="2"/>
        <v>1.1248640000000001</v>
      </c>
      <c r="L18" s="24">
        <f t="shared" si="2"/>
        <v>1.1698585600000002</v>
      </c>
      <c r="M18" s="24">
        <f t="shared" si="2"/>
        <v>1.2166529024000003</v>
      </c>
      <c r="N18" s="24">
        <f t="shared" si="2"/>
        <v>1.2653190184960004</v>
      </c>
      <c r="O18" s="24">
        <f t="shared" si="2"/>
        <v>1.3159317792358403</v>
      </c>
      <c r="P18" s="24">
        <f t="shared" si="2"/>
        <v>1.3685690504052741</v>
      </c>
      <c r="Q18" s="24">
        <f t="shared" si="2"/>
        <v>1.4233118124214852</v>
      </c>
      <c r="R18" s="24">
        <f t="shared" si="2"/>
        <v>1.4802442849183446</v>
      </c>
      <c r="S18" s="24">
        <f t="shared" si="2"/>
        <v>1.5394540563150783</v>
      </c>
      <c r="T18" s="24">
        <f t="shared" si="2"/>
        <v>1.6010322185676817</v>
      </c>
      <c r="U18" s="24">
        <f t="shared" si="2"/>
        <v>1.6650735073103891</v>
      </c>
      <c r="V18" s="24">
        <f t="shared" si="2"/>
        <v>1.7316764476028046</v>
      </c>
      <c r="W18" s="24">
        <f t="shared" si="2"/>
        <v>1.8009435055069167</v>
      </c>
      <c r="X18" s="24">
        <f t="shared" si="2"/>
        <v>1.8729812457271937</v>
      </c>
      <c r="Y18" s="24">
        <f t="shared" si="2"/>
        <v>1.9479004955562815</v>
      </c>
      <c r="Z18" s="24">
        <f t="shared" si="2"/>
        <v>2.025816515378533</v>
      </c>
      <c r="AA18" s="24">
        <f t="shared" si="2"/>
        <v>2.1068491759936743</v>
      </c>
      <c r="AB18" s="24">
        <f t="shared" si="2"/>
        <v>2.1911231430334213</v>
      </c>
      <c r="AC18" s="24">
        <f t="shared" si="2"/>
        <v>2.2787680687547587</v>
      </c>
      <c r="AD18" s="24">
        <f t="shared" si="2"/>
        <v>2.3699187915049489</v>
      </c>
      <c r="AE18" s="24">
        <f t="shared" si="2"/>
        <v>2.4647155431651466</v>
      </c>
      <c r="AF18" s="24">
        <f t="shared" si="2"/>
        <v>2.5633041648917527</v>
      </c>
      <c r="AG18" s="24">
        <f t="shared" si="2"/>
        <v>2.6658363314874234</v>
      </c>
      <c r="AH18" s="24">
        <f t="shared" si="2"/>
        <v>2.77246978474692</v>
      </c>
      <c r="AI18" s="24">
        <f t="shared" si="2"/>
        <v>2.8833685761367969</v>
      </c>
      <c r="AJ18" s="24">
        <f t="shared" si="2"/>
        <v>2.9987033191822694</v>
      </c>
      <c r="AK18" s="24">
        <f t="shared" si="2"/>
        <v>3.1186514519495603</v>
      </c>
      <c r="AL18" s="24">
        <f t="shared" si="2"/>
        <v>3.2433975100275423</v>
      </c>
      <c r="AM18" s="24">
        <f t="shared" si="2"/>
        <v>3.3731334104286441</v>
      </c>
      <c r="AN18" s="24">
        <f t="shared" si="2"/>
        <v>3.5080587468457902</v>
      </c>
      <c r="AO18" s="24">
        <f t="shared" si="2"/>
        <v>3.6483810967196217</v>
      </c>
      <c r="AP18" s="24">
        <f t="shared" si="2"/>
        <v>3.7943163405884071</v>
      </c>
      <c r="AQ18" s="24">
        <f t="shared" si="2"/>
        <v>3.9460889942119435</v>
      </c>
      <c r="AR18" s="24">
        <f t="shared" si="2"/>
        <v>4.103932553980421</v>
      </c>
      <c r="AS18" s="24">
        <f t="shared" si="2"/>
        <v>4.268089856139639</v>
      </c>
      <c r="AT18" s="24">
        <f t="shared" si="2"/>
        <v>4.4388134503852239</v>
      </c>
      <c r="AU18" s="24">
        <f t="shared" si="2"/>
        <v>4.6163659884006325</v>
      </c>
    </row>
    <row r="19" spans="2:47" hidden="1">
      <c r="B19" s="4"/>
      <c r="C19" t="s">
        <v>84</v>
      </c>
      <c r="D19" s="12" t="s">
        <v>82</v>
      </c>
      <c r="E19" s="34">
        <v>0.05</v>
      </c>
      <c r="F19" s="1" t="s">
        <v>83</v>
      </c>
      <c r="H19" s="24">
        <f>(1+$E19)^(H$7-1)</f>
        <v>1</v>
      </c>
      <c r="I19" s="24">
        <f t="shared" ref="I19:AU20" si="3">(1+$E19)^(I$7-1)</f>
        <v>1.05</v>
      </c>
      <c r="J19" s="24">
        <f t="shared" si="3"/>
        <v>1.1025</v>
      </c>
      <c r="K19" s="24">
        <f t="shared" si="3"/>
        <v>1.1576250000000001</v>
      </c>
      <c r="L19" s="24">
        <f t="shared" si="3"/>
        <v>1.21550625</v>
      </c>
      <c r="M19" s="24">
        <f t="shared" si="3"/>
        <v>1.2762815625000001</v>
      </c>
      <c r="N19" s="24">
        <f t="shared" si="3"/>
        <v>1.340095640625</v>
      </c>
      <c r="O19" s="24">
        <f t="shared" si="3"/>
        <v>1.4071004226562502</v>
      </c>
      <c r="P19" s="24">
        <f t="shared" si="3"/>
        <v>1.4774554437890626</v>
      </c>
      <c r="Q19" s="24">
        <f t="shared" si="3"/>
        <v>1.5513282159785158</v>
      </c>
      <c r="R19" s="24">
        <f t="shared" si="3"/>
        <v>1.6288946267774416</v>
      </c>
      <c r="S19" s="24">
        <f t="shared" si="3"/>
        <v>1.7103393581163138</v>
      </c>
      <c r="T19" s="24">
        <f t="shared" si="3"/>
        <v>1.7958563260221292</v>
      </c>
      <c r="U19" s="24">
        <f t="shared" si="3"/>
        <v>1.885649142323236</v>
      </c>
      <c r="V19" s="24">
        <f t="shared" si="3"/>
        <v>1.9799315994393973</v>
      </c>
      <c r="W19" s="24">
        <f t="shared" si="3"/>
        <v>2.0789281794113679</v>
      </c>
      <c r="X19" s="24">
        <f t="shared" si="3"/>
        <v>2.182874588381936</v>
      </c>
      <c r="Y19" s="24">
        <f t="shared" si="3"/>
        <v>2.2920183178010332</v>
      </c>
      <c r="Z19" s="24">
        <f t="shared" si="3"/>
        <v>2.4066192336910848</v>
      </c>
      <c r="AA19" s="24">
        <f t="shared" si="3"/>
        <v>2.526950195375639</v>
      </c>
      <c r="AB19" s="24">
        <f t="shared" si="3"/>
        <v>2.6532977051444209</v>
      </c>
      <c r="AC19" s="24">
        <f t="shared" si="3"/>
        <v>2.7859625904016418</v>
      </c>
      <c r="AD19" s="24">
        <f t="shared" si="3"/>
        <v>2.9252607199217238</v>
      </c>
      <c r="AE19" s="24">
        <f t="shared" si="3"/>
        <v>3.0715237559178106</v>
      </c>
      <c r="AF19" s="24">
        <f t="shared" si="3"/>
        <v>3.2250999437137007</v>
      </c>
      <c r="AG19" s="24">
        <f t="shared" si="3"/>
        <v>3.3863549408993858</v>
      </c>
      <c r="AH19" s="24">
        <f t="shared" si="3"/>
        <v>3.5556726879443552</v>
      </c>
      <c r="AI19" s="24">
        <f t="shared" si="3"/>
        <v>3.7334563223415733</v>
      </c>
      <c r="AJ19" s="24">
        <f t="shared" si="3"/>
        <v>3.9201291384586514</v>
      </c>
      <c r="AK19" s="24">
        <f t="shared" si="3"/>
        <v>4.1161355953815848</v>
      </c>
      <c r="AL19" s="24">
        <f t="shared" si="3"/>
        <v>4.3219423751506625</v>
      </c>
      <c r="AM19" s="24">
        <f t="shared" si="3"/>
        <v>4.5380394939081974</v>
      </c>
      <c r="AN19" s="24">
        <f t="shared" si="3"/>
        <v>4.7649414686036069</v>
      </c>
      <c r="AO19" s="24">
        <f t="shared" si="3"/>
        <v>5.0031885420337874</v>
      </c>
      <c r="AP19" s="24">
        <f t="shared" si="3"/>
        <v>5.2533479691354765</v>
      </c>
      <c r="AQ19" s="24">
        <f t="shared" si="3"/>
        <v>5.5160153675922512</v>
      </c>
      <c r="AR19" s="24">
        <f t="shared" si="3"/>
        <v>5.791816135971863</v>
      </c>
      <c r="AS19" s="24">
        <f t="shared" si="3"/>
        <v>6.0814069427704567</v>
      </c>
      <c r="AT19" s="24">
        <f t="shared" si="3"/>
        <v>6.3854772899089784</v>
      </c>
      <c r="AU19" s="24">
        <f t="shared" si="3"/>
        <v>6.7047511544044287</v>
      </c>
    </row>
    <row r="20" spans="2:47" hidden="1">
      <c r="C20" t="s">
        <v>85</v>
      </c>
      <c r="D20" s="12" t="s">
        <v>82</v>
      </c>
      <c r="E20" s="133">
        <f>((1+E19)/(1+E18))-1</f>
        <v>9.6153846153845812E-3</v>
      </c>
      <c r="H20" s="24">
        <f>(1+$E20)^(H$7-1)</f>
        <v>1</v>
      </c>
      <c r="I20" s="24">
        <f t="shared" si="3"/>
        <v>1.0096153846153846</v>
      </c>
      <c r="J20" s="24">
        <f t="shared" si="3"/>
        <v>1.0193232248520709</v>
      </c>
      <c r="K20" s="24">
        <f t="shared" si="3"/>
        <v>1.0291244097064178</v>
      </c>
      <c r="L20" s="24">
        <f t="shared" si="3"/>
        <v>1.0390198367228256</v>
      </c>
      <c r="M20" s="24">
        <f t="shared" si="3"/>
        <v>1.0490104120759296</v>
      </c>
      <c r="N20" s="24">
        <f t="shared" si="3"/>
        <v>1.0590970506535828</v>
      </c>
      <c r="O20" s="24">
        <f t="shared" si="3"/>
        <v>1.0692806761406366</v>
      </c>
      <c r="P20" s="24">
        <f t="shared" si="3"/>
        <v>1.0795622211035272</v>
      </c>
      <c r="Q20" s="24">
        <f t="shared" si="3"/>
        <v>1.0899426270756765</v>
      </c>
      <c r="R20" s="24">
        <f t="shared" si="3"/>
        <v>1.1004228446437117</v>
      </c>
      <c r="S20" s="24">
        <f t="shared" si="3"/>
        <v>1.1110038335345167</v>
      </c>
      <c r="T20" s="24">
        <f t="shared" si="3"/>
        <v>1.1216865627031178</v>
      </c>
      <c r="U20" s="24">
        <f t="shared" si="3"/>
        <v>1.1324720104214168</v>
      </c>
      <c r="V20" s="24">
        <f t="shared" si="3"/>
        <v>1.1433611643677768</v>
      </c>
      <c r="W20" s="24">
        <f t="shared" si="3"/>
        <v>1.154355021717467</v>
      </c>
      <c r="X20" s="24">
        <f t="shared" si="3"/>
        <v>1.1654545892339809</v>
      </c>
      <c r="Y20" s="24">
        <f t="shared" si="3"/>
        <v>1.1766608833612306</v>
      </c>
      <c r="Z20" s="24">
        <f t="shared" si="3"/>
        <v>1.1879749303166272</v>
      </c>
      <c r="AA20" s="24">
        <f t="shared" si="3"/>
        <v>1.1993977661850563</v>
      </c>
      <c r="AB20" s="24">
        <f t="shared" si="3"/>
        <v>1.2109304370137586</v>
      </c>
      <c r="AC20" s="24">
        <f t="shared" si="3"/>
        <v>1.2225739989081217</v>
      </c>
      <c r="AD20" s="24">
        <f t="shared" si="3"/>
        <v>1.234329518128392</v>
      </c>
      <c r="AE20" s="24">
        <f t="shared" si="3"/>
        <v>1.2461980711873191</v>
      </c>
      <c r="AF20" s="24">
        <f t="shared" si="3"/>
        <v>1.2581807449487354</v>
      </c>
      <c r="AG20" s="24">
        <f t="shared" si="3"/>
        <v>1.2702786367270886</v>
      </c>
      <c r="AH20" s="24">
        <f t="shared" si="3"/>
        <v>1.2824928543879257</v>
      </c>
      <c r="AI20" s="24">
        <f t="shared" si="3"/>
        <v>1.2948245164493484</v>
      </c>
      <c r="AJ20" s="24">
        <f t="shared" si="3"/>
        <v>1.3072747521844381</v>
      </c>
      <c r="AK20" s="24">
        <f t="shared" si="3"/>
        <v>1.3198447017246728</v>
      </c>
      <c r="AL20" s="24">
        <f t="shared" si="3"/>
        <v>1.3325355161643335</v>
      </c>
      <c r="AM20" s="24">
        <f t="shared" si="3"/>
        <v>1.3453483576659135</v>
      </c>
      <c r="AN20" s="24">
        <f t="shared" si="3"/>
        <v>1.3582843995665472</v>
      </c>
      <c r="AO20" s="24">
        <f t="shared" si="3"/>
        <v>1.3713448264854562</v>
      </c>
      <c r="AP20" s="24">
        <f t="shared" si="3"/>
        <v>1.3845308344324319</v>
      </c>
      <c r="AQ20" s="24">
        <f t="shared" si="3"/>
        <v>1.3978436309173592</v>
      </c>
      <c r="AR20" s="24">
        <f t="shared" si="3"/>
        <v>1.4112844350607952</v>
      </c>
      <c r="AS20" s="24">
        <f t="shared" si="3"/>
        <v>1.4248544777056102</v>
      </c>
      <c r="AT20" s="24">
        <f t="shared" si="3"/>
        <v>1.4385550015297028</v>
      </c>
      <c r="AU20" s="24">
        <f t="shared" si="3"/>
        <v>1.4523872611597963</v>
      </c>
    </row>
    <row r="21" spans="2:47" hidden="1">
      <c r="B21" s="4"/>
    </row>
    <row r="22" spans="2:47" ht="15" hidden="1">
      <c r="B22" s="14" t="s">
        <v>87</v>
      </c>
      <c r="C22" s="14"/>
      <c r="D22" s="14"/>
    </row>
    <row r="23" spans="2:47" ht="15" hidden="1">
      <c r="C23" s="14" t="s">
        <v>80</v>
      </c>
      <c r="D23" s="14"/>
    </row>
    <row r="24" spans="2:47" hidden="1">
      <c r="C24" t="s">
        <v>81</v>
      </c>
      <c r="D24" s="12" t="s">
        <v>82</v>
      </c>
      <c r="E24" s="34">
        <v>7.0000000000000007E-2</v>
      </c>
      <c r="F24" s="1" t="s">
        <v>83</v>
      </c>
      <c r="H24" s="24">
        <f>(1+$E$24)^(H$7-1)</f>
        <v>1</v>
      </c>
      <c r="I24" s="24">
        <f t="shared" ref="I24:AU24" si="4">(1+$E$12)^(I$7-1)</f>
        <v>1.01</v>
      </c>
      <c r="J24" s="24">
        <f t="shared" si="4"/>
        <v>1.0201</v>
      </c>
      <c r="K24" s="24">
        <f t="shared" si="4"/>
        <v>1.0303009999999999</v>
      </c>
      <c r="L24" s="24">
        <f t="shared" si="4"/>
        <v>1.04060401</v>
      </c>
      <c r="M24" s="24">
        <f t="shared" si="4"/>
        <v>1.0510100500999999</v>
      </c>
      <c r="N24" s="24">
        <f t="shared" si="4"/>
        <v>1.0615201506010001</v>
      </c>
      <c r="O24" s="24">
        <f t="shared" si="4"/>
        <v>1.0721353521070098</v>
      </c>
      <c r="P24" s="24">
        <f t="shared" si="4"/>
        <v>1.0828567056280802</v>
      </c>
      <c r="Q24" s="24">
        <f t="shared" si="4"/>
        <v>1.0936852726843611</v>
      </c>
      <c r="R24" s="24">
        <f t="shared" si="4"/>
        <v>1.1046221254112047</v>
      </c>
      <c r="S24" s="24">
        <f t="shared" si="4"/>
        <v>1.1156683466653166</v>
      </c>
      <c r="T24" s="24">
        <f t="shared" si="4"/>
        <v>1.1268250301319698</v>
      </c>
      <c r="U24" s="24">
        <f t="shared" si="4"/>
        <v>1.1380932804332895</v>
      </c>
      <c r="V24" s="24">
        <f t="shared" si="4"/>
        <v>1.1494742132376226</v>
      </c>
      <c r="W24" s="24">
        <f t="shared" si="4"/>
        <v>1.1609689553699984</v>
      </c>
      <c r="X24" s="24">
        <f t="shared" si="4"/>
        <v>1.1725786449236988</v>
      </c>
      <c r="Y24" s="24">
        <f t="shared" si="4"/>
        <v>1.1843044313729358</v>
      </c>
      <c r="Z24" s="24">
        <f t="shared" si="4"/>
        <v>1.1961474756866652</v>
      </c>
      <c r="AA24" s="24">
        <f t="shared" si="4"/>
        <v>1.2081089504435316</v>
      </c>
      <c r="AB24" s="24">
        <f t="shared" si="4"/>
        <v>1.220190039947967</v>
      </c>
      <c r="AC24" s="24">
        <f t="shared" si="4"/>
        <v>1.2323919403474466</v>
      </c>
      <c r="AD24" s="24">
        <f t="shared" si="4"/>
        <v>1.2447158597509214</v>
      </c>
      <c r="AE24" s="24">
        <f t="shared" si="4"/>
        <v>1.2571630183484304</v>
      </c>
      <c r="AF24" s="24">
        <f t="shared" si="4"/>
        <v>1.269734648531915</v>
      </c>
      <c r="AG24" s="24">
        <f t="shared" si="4"/>
        <v>1.2824319950172343</v>
      </c>
      <c r="AH24" s="24">
        <f t="shared" si="4"/>
        <v>1.2952563149674066</v>
      </c>
      <c r="AI24" s="24">
        <f t="shared" si="4"/>
        <v>1.3082088781170802</v>
      </c>
      <c r="AJ24" s="24">
        <f t="shared" si="4"/>
        <v>1.3212909668982511</v>
      </c>
      <c r="AK24" s="24">
        <f t="shared" si="4"/>
        <v>1.3345038765672337</v>
      </c>
      <c r="AL24" s="24">
        <f t="shared" si="4"/>
        <v>1.3478489153329063</v>
      </c>
      <c r="AM24" s="24">
        <f t="shared" si="4"/>
        <v>1.3613274044862349</v>
      </c>
      <c r="AN24" s="24">
        <f t="shared" si="4"/>
        <v>1.3749406785310976</v>
      </c>
      <c r="AO24" s="24">
        <f t="shared" si="4"/>
        <v>1.3886900853164086</v>
      </c>
      <c r="AP24" s="24">
        <f t="shared" si="4"/>
        <v>1.4025769861695727</v>
      </c>
      <c r="AQ24" s="24">
        <f t="shared" si="4"/>
        <v>1.4166027560312682</v>
      </c>
      <c r="AR24" s="24">
        <f t="shared" si="4"/>
        <v>1.430768783591581</v>
      </c>
      <c r="AS24" s="24">
        <f t="shared" si="4"/>
        <v>1.4450764714274968</v>
      </c>
      <c r="AT24" s="24">
        <f t="shared" si="4"/>
        <v>1.4595272361417719</v>
      </c>
      <c r="AU24" s="24">
        <f t="shared" si="4"/>
        <v>1.4741225085031893</v>
      </c>
    </row>
    <row r="25" spans="2:47" hidden="1">
      <c r="B25" s="4"/>
      <c r="C25" t="s">
        <v>84</v>
      </c>
      <c r="D25" s="12" t="s">
        <v>82</v>
      </c>
      <c r="E25" s="34">
        <v>0.08</v>
      </c>
      <c r="F25" s="1" t="s">
        <v>83</v>
      </c>
      <c r="H25" s="24">
        <f>(1+$E25)^(H$7-1)</f>
        <v>1</v>
      </c>
      <c r="I25" s="24">
        <f>(1+$E25)^(I$7-1)</f>
        <v>1.08</v>
      </c>
      <c r="J25" s="24">
        <f t="shared" ref="I25:AU26" si="5">(1+$E25)^(J$7-1)</f>
        <v>1.1664000000000001</v>
      </c>
      <c r="K25" s="24">
        <f t="shared" si="5"/>
        <v>1.2597120000000002</v>
      </c>
      <c r="L25" s="24">
        <f t="shared" si="5"/>
        <v>1.3604889600000003</v>
      </c>
      <c r="M25" s="24">
        <f t="shared" si="5"/>
        <v>1.4693280768000003</v>
      </c>
      <c r="N25" s="24">
        <f t="shared" si="5"/>
        <v>1.5868743229440005</v>
      </c>
      <c r="O25" s="24">
        <f t="shared" si="5"/>
        <v>1.7138242687795207</v>
      </c>
      <c r="P25" s="24">
        <f t="shared" si="5"/>
        <v>1.8509302102818823</v>
      </c>
      <c r="Q25" s="24">
        <f t="shared" si="5"/>
        <v>1.9990046271044331</v>
      </c>
      <c r="R25" s="24">
        <f t="shared" si="5"/>
        <v>2.1589249972727877</v>
      </c>
      <c r="S25" s="24">
        <f t="shared" si="5"/>
        <v>2.3316389970546108</v>
      </c>
      <c r="T25" s="24">
        <f t="shared" si="5"/>
        <v>2.5181701168189798</v>
      </c>
      <c r="U25" s="24">
        <f t="shared" si="5"/>
        <v>2.7196237261644982</v>
      </c>
      <c r="V25" s="24">
        <f t="shared" si="5"/>
        <v>2.9371936242576586</v>
      </c>
      <c r="W25" s="24">
        <f t="shared" si="5"/>
        <v>3.1721691141982715</v>
      </c>
      <c r="X25" s="24">
        <f t="shared" si="5"/>
        <v>3.4259426433341331</v>
      </c>
      <c r="Y25" s="24">
        <f t="shared" si="5"/>
        <v>3.7000180548008639</v>
      </c>
      <c r="Z25" s="24">
        <f t="shared" si="5"/>
        <v>3.9960194991849334</v>
      </c>
      <c r="AA25" s="24">
        <f t="shared" si="5"/>
        <v>4.3157010591197285</v>
      </c>
      <c r="AB25" s="24">
        <f t="shared" si="5"/>
        <v>4.6609571438493065</v>
      </c>
      <c r="AC25" s="24">
        <f t="shared" si="5"/>
        <v>5.0338337153572512</v>
      </c>
      <c r="AD25" s="24">
        <f t="shared" si="5"/>
        <v>5.4365404125858321</v>
      </c>
      <c r="AE25" s="24">
        <f t="shared" si="5"/>
        <v>5.8714636455926987</v>
      </c>
      <c r="AF25" s="24">
        <f t="shared" si="5"/>
        <v>6.3411807372401148</v>
      </c>
      <c r="AG25" s="24">
        <f t="shared" si="5"/>
        <v>6.8484751962193249</v>
      </c>
      <c r="AH25" s="24">
        <f t="shared" si="5"/>
        <v>7.3963532119168702</v>
      </c>
      <c r="AI25" s="24">
        <f t="shared" si="5"/>
        <v>7.9880614688702201</v>
      </c>
      <c r="AJ25" s="24">
        <f t="shared" si="5"/>
        <v>8.6271063863798378</v>
      </c>
      <c r="AK25" s="24">
        <f t="shared" si="5"/>
        <v>9.3172748972902255</v>
      </c>
      <c r="AL25" s="24">
        <f t="shared" si="5"/>
        <v>10.062656889073445</v>
      </c>
      <c r="AM25" s="24">
        <f t="shared" si="5"/>
        <v>10.867669440199322</v>
      </c>
      <c r="AN25" s="24">
        <f t="shared" si="5"/>
        <v>11.737082995415268</v>
      </c>
      <c r="AO25" s="24">
        <f t="shared" si="5"/>
        <v>12.676049635048489</v>
      </c>
      <c r="AP25" s="24">
        <f t="shared" si="5"/>
        <v>13.690133605852369</v>
      </c>
      <c r="AQ25" s="24">
        <f t="shared" si="5"/>
        <v>14.785344294320559</v>
      </c>
      <c r="AR25" s="24">
        <f t="shared" si="5"/>
        <v>15.968171837866207</v>
      </c>
      <c r="AS25" s="24">
        <f t="shared" si="5"/>
        <v>17.245625584895503</v>
      </c>
      <c r="AT25" s="24">
        <f t="shared" si="5"/>
        <v>18.625275631687146</v>
      </c>
      <c r="AU25" s="24">
        <f t="shared" si="5"/>
        <v>20.115297682222117</v>
      </c>
    </row>
    <row r="26" spans="2:47" hidden="1">
      <c r="C26" t="s">
        <v>85</v>
      </c>
      <c r="D26" s="12" t="s">
        <v>82</v>
      </c>
      <c r="E26" s="133">
        <f>((1+E25)/(1+E24))-1</f>
        <v>9.3457943925234765E-3</v>
      </c>
      <c r="H26" s="24">
        <f>(1+$E26)^(H$7-1)</f>
        <v>1</v>
      </c>
      <c r="I26" s="24">
        <f t="shared" si="5"/>
        <v>1.0093457943925235</v>
      </c>
      <c r="J26" s="24">
        <f t="shared" si="5"/>
        <v>1.0187789326578742</v>
      </c>
      <c r="K26" s="24">
        <f t="shared" si="5"/>
        <v>1.0283002310939293</v>
      </c>
      <c r="L26" s="24">
        <f t="shared" si="5"/>
        <v>1.0379105136275175</v>
      </c>
      <c r="M26" s="24">
        <f t="shared" si="5"/>
        <v>1.0476106118857187</v>
      </c>
      <c r="N26" s="24">
        <f t="shared" si="5"/>
        <v>1.0574013652678282</v>
      </c>
      <c r="O26" s="24">
        <f t="shared" si="5"/>
        <v>1.0672836210179952</v>
      </c>
      <c r="P26" s="24">
        <f t="shared" si="5"/>
        <v>1.0772582342985373</v>
      </c>
      <c r="Q26" s="24">
        <f t="shared" si="5"/>
        <v>1.0873260682639443</v>
      </c>
      <c r="R26" s="24">
        <f t="shared" si="5"/>
        <v>1.09748799413557</v>
      </c>
      <c r="S26" s="24">
        <f t="shared" si="5"/>
        <v>1.1077448912770242</v>
      </c>
      <c r="T26" s="24">
        <f t="shared" si="5"/>
        <v>1.1180976472702675</v>
      </c>
      <c r="U26" s="24">
        <f t="shared" si="5"/>
        <v>1.1285471579924196</v>
      </c>
      <c r="V26" s="24">
        <f t="shared" si="5"/>
        <v>1.1390943276932832</v>
      </c>
      <c r="W26" s="24">
        <f t="shared" si="5"/>
        <v>1.1497400690735948</v>
      </c>
      <c r="X26" s="24">
        <f t="shared" si="5"/>
        <v>1.1604853033640024</v>
      </c>
      <c r="Y26" s="24">
        <f t="shared" si="5"/>
        <v>1.1713309604047875</v>
      </c>
      <c r="Z26" s="24">
        <f t="shared" si="5"/>
        <v>1.1822779787263278</v>
      </c>
      <c r="AA26" s="24">
        <f t="shared" si="5"/>
        <v>1.1933273056303122</v>
      </c>
      <c r="AB26" s="24">
        <f t="shared" si="5"/>
        <v>1.2044798972717172</v>
      </c>
      <c r="AC26" s="24">
        <f t="shared" si="5"/>
        <v>1.2157367187415464</v>
      </c>
      <c r="AD26" s="24">
        <f t="shared" si="5"/>
        <v>1.2270987441503458</v>
      </c>
      <c r="AE26" s="24">
        <f t="shared" si="5"/>
        <v>1.2385669567124991</v>
      </c>
      <c r="AF26" s="24">
        <f t="shared" si="5"/>
        <v>1.2501423488313075</v>
      </c>
      <c r="AG26" s="24">
        <f t="shared" si="5"/>
        <v>1.2618259221848713</v>
      </c>
      <c r="AH26" s="24">
        <f t="shared" si="5"/>
        <v>1.2736186878127673</v>
      </c>
      <c r="AI26" s="24">
        <f t="shared" si="5"/>
        <v>1.2855216662035414</v>
      </c>
      <c r="AJ26" s="24">
        <f t="shared" si="5"/>
        <v>1.2975358873830136</v>
      </c>
      <c r="AK26" s="24">
        <f t="shared" si="5"/>
        <v>1.3096623910034157</v>
      </c>
      <c r="AL26" s="24">
        <f t="shared" si="5"/>
        <v>1.3219022264333542</v>
      </c>
      <c r="AM26" s="24">
        <f t="shared" si="5"/>
        <v>1.3342564528486198</v>
      </c>
      <c r="AN26" s="24">
        <f t="shared" si="5"/>
        <v>1.3467261393238406</v>
      </c>
      <c r="AO26" s="24">
        <f t="shared" si="5"/>
        <v>1.3593123649249981</v>
      </c>
      <c r="AP26" s="24">
        <f t="shared" si="5"/>
        <v>1.372016218802802</v>
      </c>
      <c r="AQ26" s="24">
        <f t="shared" si="5"/>
        <v>1.3848388002869405</v>
      </c>
      <c r="AR26" s="24">
        <f t="shared" si="5"/>
        <v>1.3977812189812111</v>
      </c>
      <c r="AS26" s="24">
        <f t="shared" si="5"/>
        <v>1.4108445948595403</v>
      </c>
      <c r="AT26" s="24">
        <f t="shared" si="5"/>
        <v>1.4240300583629004</v>
      </c>
      <c r="AU26" s="24">
        <f t="shared" si="5"/>
        <v>1.4373387504971338</v>
      </c>
    </row>
    <row r="27" spans="2:47" hidden="1">
      <c r="D27" s="12"/>
      <c r="E27" s="3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row>
    <row r="28" spans="2:47" ht="15" hidden="1">
      <c r="B28" s="14" t="s">
        <v>88</v>
      </c>
    </row>
    <row r="29" spans="2:47" hidden="1">
      <c r="B29" s="4"/>
      <c r="C29" t="s">
        <v>89</v>
      </c>
      <c r="E29" s="35">
        <v>2020</v>
      </c>
    </row>
    <row r="30" spans="2:47" hidden="1">
      <c r="B30" s="4"/>
      <c r="C30" t="s">
        <v>90</v>
      </c>
      <c r="D30" s="12" t="s">
        <v>91</v>
      </c>
      <c r="E30" s="35">
        <v>40</v>
      </c>
      <c r="F30" s="12" t="s">
        <v>92</v>
      </c>
      <c r="G30" s="40" t="s">
        <v>93</v>
      </c>
      <c r="H30" s="39">
        <f>$E30*((1+$E32)^(H6-$E29))</f>
        <v>42.761205624999988</v>
      </c>
      <c r="I30" s="39">
        <f t="shared" ref="I30:AU30" si="6">$E30*((1+$E32)^(I6-$E29))</f>
        <v>43.723332751562495</v>
      </c>
      <c r="J30" s="39">
        <f t="shared" si="6"/>
        <v>44.707107738472651</v>
      </c>
      <c r="K30" s="39">
        <f t="shared" si="6"/>
        <v>45.713017662588278</v>
      </c>
      <c r="L30" s="39">
        <f t="shared" si="6"/>
        <v>46.741560559996515</v>
      </c>
      <c r="M30" s="39">
        <f t="shared" si="6"/>
        <v>47.793245672596427</v>
      </c>
      <c r="N30" s="39">
        <f t="shared" si="6"/>
        <v>48.868593700229837</v>
      </c>
      <c r="O30" s="39">
        <f t="shared" si="6"/>
        <v>49.968137058485013</v>
      </c>
      <c r="P30" s="39">
        <f t="shared" si="6"/>
        <v>51.092420142300917</v>
      </c>
      <c r="Q30" s="39">
        <f t="shared" si="6"/>
        <v>52.241999595502691</v>
      </c>
      <c r="R30" s="39">
        <f t="shared" si="6"/>
        <v>53.417444586401501</v>
      </c>
      <c r="S30" s="39">
        <f t="shared" si="6"/>
        <v>54.619337089595533</v>
      </c>
      <c r="T30" s="39">
        <f t="shared" si="6"/>
        <v>55.848272174111429</v>
      </c>
      <c r="U30" s="39">
        <f t="shared" si="6"/>
        <v>57.104858298028923</v>
      </c>
      <c r="V30" s="39">
        <f t="shared" si="6"/>
        <v>58.389717609734575</v>
      </c>
      <c r="W30" s="39">
        <f t="shared" si="6"/>
        <v>59.703486255953592</v>
      </c>
      <c r="X30" s="39">
        <f t="shared" si="6"/>
        <v>61.046814696712552</v>
      </c>
      <c r="Y30" s="39">
        <f t="shared" si="6"/>
        <v>62.420368027388584</v>
      </c>
      <c r="Z30" s="39">
        <f t="shared" si="6"/>
        <v>63.824826308004823</v>
      </c>
      <c r="AA30" s="39">
        <f t="shared" si="6"/>
        <v>65.260884899934922</v>
      </c>
      <c r="AB30" s="39">
        <f t="shared" si="6"/>
        <v>66.729254810183448</v>
      </c>
      <c r="AC30" s="39">
        <f t="shared" si="6"/>
        <v>68.230663043412576</v>
      </c>
      <c r="AD30" s="39">
        <f t="shared" si="6"/>
        <v>69.765852961889351</v>
      </c>
      <c r="AE30" s="39">
        <f t="shared" si="6"/>
        <v>71.335584653531868</v>
      </c>
      <c r="AF30" s="39">
        <f t="shared" si="6"/>
        <v>72.940635308236324</v>
      </c>
      <c r="AG30" s="39">
        <f t="shared" si="6"/>
        <v>74.581799602671637</v>
      </c>
      <c r="AH30" s="39">
        <f t="shared" si="6"/>
        <v>76.259890093731741</v>
      </c>
      <c r="AI30" s="39">
        <f t="shared" si="6"/>
        <v>77.975737620840718</v>
      </c>
      <c r="AJ30" s="39">
        <f t="shared" si="6"/>
        <v>79.730191717309623</v>
      </c>
      <c r="AK30" s="39">
        <f t="shared" si="6"/>
        <v>81.524121030949061</v>
      </c>
      <c r="AL30" s="39">
        <f t="shared" si="6"/>
        <v>83.358413754145431</v>
      </c>
      <c r="AM30" s="39">
        <f t="shared" si="6"/>
        <v>85.233978063613677</v>
      </c>
      <c r="AN30" s="39">
        <f t="shared" si="6"/>
        <v>87.151742570044988</v>
      </c>
      <c r="AO30" s="39">
        <f t="shared" si="6"/>
        <v>89.112656777870995</v>
      </c>
      <c r="AP30" s="39">
        <f t="shared" si="6"/>
        <v>91.117691555373099</v>
      </c>
      <c r="AQ30" s="39">
        <f t="shared" si="6"/>
        <v>93.16783961536899</v>
      </c>
      <c r="AR30" s="39">
        <f t="shared" si="6"/>
        <v>95.264116006714787</v>
      </c>
      <c r="AS30" s="39">
        <f t="shared" si="6"/>
        <v>97.407558616865856</v>
      </c>
      <c r="AT30" s="39">
        <f t="shared" si="6"/>
        <v>99.599228685745317</v>
      </c>
      <c r="AU30" s="39">
        <f t="shared" si="6"/>
        <v>101.84021133117457</v>
      </c>
    </row>
    <row r="31" spans="2:47" hidden="1">
      <c r="B31" s="4"/>
      <c r="C31" t="s">
        <v>94</v>
      </c>
      <c r="D31" s="12" t="s">
        <v>91</v>
      </c>
      <c r="E31" s="38">
        <v>80</v>
      </c>
      <c r="F31" s="12" t="s">
        <v>92</v>
      </c>
      <c r="G31" s="40" t="s">
        <v>93</v>
      </c>
      <c r="H31" s="39">
        <f>$E31*((1+$E32)^(H6-$E29))</f>
        <v>85.522411249999976</v>
      </c>
      <c r="I31" s="39">
        <f t="shared" ref="I31:AU31" si="7">$E31*((1+$E32)^(I6-$E29))</f>
        <v>87.44666550312499</v>
      </c>
      <c r="J31" s="39">
        <f t="shared" si="7"/>
        <v>89.414215476945301</v>
      </c>
      <c r="K31" s="39">
        <f t="shared" si="7"/>
        <v>91.426035325176557</v>
      </c>
      <c r="L31" s="39">
        <f t="shared" si="7"/>
        <v>93.483121119993029</v>
      </c>
      <c r="M31" s="39">
        <f t="shared" si="7"/>
        <v>95.586491345192854</v>
      </c>
      <c r="N31" s="39">
        <f t="shared" si="7"/>
        <v>97.737187400459675</v>
      </c>
      <c r="O31" s="39">
        <f t="shared" si="7"/>
        <v>99.936274116970026</v>
      </c>
      <c r="P31" s="39">
        <f t="shared" si="7"/>
        <v>102.18484028460183</v>
      </c>
      <c r="Q31" s="39">
        <f t="shared" si="7"/>
        <v>104.48399919100538</v>
      </c>
      <c r="R31" s="39">
        <f t="shared" si="7"/>
        <v>106.834889172803</v>
      </c>
      <c r="S31" s="39">
        <f t="shared" si="7"/>
        <v>109.23867417919107</v>
      </c>
      <c r="T31" s="39">
        <f t="shared" si="7"/>
        <v>111.69654434822286</v>
      </c>
      <c r="U31" s="39">
        <f t="shared" si="7"/>
        <v>114.20971659605785</v>
      </c>
      <c r="V31" s="39">
        <f t="shared" si="7"/>
        <v>116.77943521946915</v>
      </c>
      <c r="W31" s="39">
        <f t="shared" si="7"/>
        <v>119.40697251190718</v>
      </c>
      <c r="X31" s="39">
        <f t="shared" si="7"/>
        <v>122.0936293934251</v>
      </c>
      <c r="Y31" s="39">
        <f t="shared" si="7"/>
        <v>124.84073605477717</v>
      </c>
      <c r="Z31" s="39">
        <f t="shared" si="7"/>
        <v>127.64965261600965</v>
      </c>
      <c r="AA31" s="39">
        <f t="shared" si="7"/>
        <v>130.52176979986984</v>
      </c>
      <c r="AB31" s="39">
        <f t="shared" si="7"/>
        <v>133.4585096203669</v>
      </c>
      <c r="AC31" s="39">
        <f t="shared" si="7"/>
        <v>136.46132608682515</v>
      </c>
      <c r="AD31" s="39">
        <f t="shared" si="7"/>
        <v>139.5317059237787</v>
      </c>
      <c r="AE31" s="39">
        <f t="shared" si="7"/>
        <v>142.67116930706374</v>
      </c>
      <c r="AF31" s="39">
        <f t="shared" si="7"/>
        <v>145.88127061647265</v>
      </c>
      <c r="AG31" s="39">
        <f t="shared" si="7"/>
        <v>149.16359920534327</v>
      </c>
      <c r="AH31" s="39">
        <f t="shared" si="7"/>
        <v>152.51978018746348</v>
      </c>
      <c r="AI31" s="39">
        <f t="shared" si="7"/>
        <v>155.95147524168144</v>
      </c>
      <c r="AJ31" s="39">
        <f t="shared" si="7"/>
        <v>159.46038343461925</v>
      </c>
      <c r="AK31" s="39">
        <f t="shared" si="7"/>
        <v>163.04824206189812</v>
      </c>
      <c r="AL31" s="39">
        <f t="shared" si="7"/>
        <v>166.71682750829086</v>
      </c>
      <c r="AM31" s="39">
        <f t="shared" si="7"/>
        <v>170.46795612722735</v>
      </c>
      <c r="AN31" s="39">
        <f t="shared" si="7"/>
        <v>174.30348514008998</v>
      </c>
      <c r="AO31" s="39">
        <f t="shared" si="7"/>
        <v>178.22531355574199</v>
      </c>
      <c r="AP31" s="39">
        <f t="shared" si="7"/>
        <v>182.2353831107462</v>
      </c>
      <c r="AQ31" s="39">
        <f t="shared" si="7"/>
        <v>186.33567923073798</v>
      </c>
      <c r="AR31" s="39">
        <f t="shared" si="7"/>
        <v>190.52823201342957</v>
      </c>
      <c r="AS31" s="39">
        <f t="shared" si="7"/>
        <v>194.81511723373171</v>
      </c>
      <c r="AT31" s="39">
        <f t="shared" si="7"/>
        <v>199.19845737149063</v>
      </c>
      <c r="AU31" s="39">
        <f t="shared" si="7"/>
        <v>203.68042266234914</v>
      </c>
    </row>
    <row r="32" spans="2:47" hidden="1">
      <c r="B32" s="4"/>
      <c r="C32" t="s">
        <v>95</v>
      </c>
      <c r="D32" s="12" t="s">
        <v>82</v>
      </c>
      <c r="E32" s="34">
        <v>2.2499999999999999E-2</v>
      </c>
      <c r="F32" s="12" t="s">
        <v>92</v>
      </c>
      <c r="G32" s="40" t="s">
        <v>93</v>
      </c>
      <c r="H32" s="39"/>
    </row>
    <row r="33" spans="1:47" hidden="1">
      <c r="B33" s="4"/>
    </row>
    <row r="34" spans="1:47" ht="15" hidden="1">
      <c r="B34" s="9" t="s">
        <v>96</v>
      </c>
    </row>
    <row r="35" spans="1:47" hidden="1">
      <c r="A35" s="200" t="s">
        <v>97</v>
      </c>
      <c r="C35" s="15"/>
      <c r="E35" s="25"/>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row>
    <row r="36" spans="1:47" hidden="1"/>
    <row r="37" spans="1:47" hidden="1"/>
    <row r="38" spans="1:47" ht="15" hidden="1">
      <c r="B38" s="14" t="s">
        <v>98</v>
      </c>
    </row>
    <row r="39" spans="1:47" hidden="1">
      <c r="A39" s="200" t="s">
        <v>97</v>
      </c>
      <c r="C39" s="4"/>
      <c r="E39" s="134"/>
      <c r="F39" s="12"/>
      <c r="G39" s="40"/>
    </row>
    <row r="40" spans="1:47" hidden="1">
      <c r="A40" s="200" t="s">
        <v>97</v>
      </c>
      <c r="C40" s="4"/>
      <c r="E40" s="135"/>
      <c r="F40" s="12"/>
      <c r="G40" s="40"/>
    </row>
    <row r="41" spans="1:47" hidden="1">
      <c r="A41" s="200" t="s">
        <v>97</v>
      </c>
      <c r="C41" s="4"/>
      <c r="E41" s="42"/>
      <c r="F41" s="12"/>
    </row>
    <row r="42" spans="1:47" hidden="1"/>
    <row r="43" spans="1:47" ht="15">
      <c r="B43" s="14" t="s">
        <v>99</v>
      </c>
      <c r="G43" s="8" t="s">
        <v>100</v>
      </c>
    </row>
    <row r="44" spans="1:47">
      <c r="C44" s="4" t="s">
        <v>101</v>
      </c>
    </row>
    <row r="45" spans="1:47">
      <c r="C45" s="4" t="s">
        <v>102</v>
      </c>
      <c r="D45" t="s">
        <v>103</v>
      </c>
      <c r="E45" s="38">
        <v>89</v>
      </c>
      <c r="G45" s="8" t="s">
        <v>104</v>
      </c>
    </row>
    <row r="46" spans="1:47">
      <c r="C46" s="4" t="s">
        <v>105</v>
      </c>
      <c r="D46" t="s">
        <v>103</v>
      </c>
      <c r="E46" s="41">
        <v>212</v>
      </c>
      <c r="G46" s="8" t="s">
        <v>104</v>
      </c>
    </row>
    <row r="47" spans="1:47">
      <c r="C47" s="4" t="s">
        <v>106</v>
      </c>
      <c r="D47" t="s">
        <v>103</v>
      </c>
      <c r="E47" s="42">
        <v>249</v>
      </c>
      <c r="G47" s="8" t="s">
        <v>104</v>
      </c>
    </row>
    <row r="48" spans="1:47">
      <c r="C48" s="4" t="s">
        <v>107</v>
      </c>
    </row>
    <row r="49" spans="2:7">
      <c r="C49" s="4" t="s">
        <v>108</v>
      </c>
      <c r="D49" t="s">
        <v>103</v>
      </c>
      <c r="E49" s="234">
        <v>255</v>
      </c>
      <c r="G49" s="8" t="s">
        <v>104</v>
      </c>
    </row>
    <row r="51" spans="2:7" ht="15">
      <c r="B51" s="14" t="s">
        <v>109</v>
      </c>
    </row>
    <row r="52" spans="2:7">
      <c r="C52" t="s">
        <v>110</v>
      </c>
      <c r="D52" s="12" t="s">
        <v>111</v>
      </c>
      <c r="E52" s="225">
        <v>600</v>
      </c>
      <c r="G52" s="8" t="s">
        <v>112</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C3861-5050-4D6F-8776-F7DB92138F25}">
  <sheetPr>
    <tabColor theme="8"/>
  </sheetPr>
  <dimension ref="A1:AW34"/>
  <sheetViews>
    <sheetView showGridLines="0" zoomScale="85" zoomScaleNormal="85" workbookViewId="0">
      <selection activeCell="G5" sqref="G5"/>
    </sheetView>
  </sheetViews>
  <sheetFormatPr defaultRowHeight="14.25"/>
  <cols>
    <col min="2" max="2" width="25.125" bestFit="1" customWidth="1"/>
    <col min="4" max="4" width="3" customWidth="1"/>
    <col min="5" max="5" width="8.125" customWidth="1"/>
    <col min="6" max="6" width="3" customWidth="1"/>
    <col min="7" max="7" width="31.625" customWidth="1"/>
    <col min="10" max="49" width="8.625" style="26"/>
  </cols>
  <sheetData>
    <row r="1" spans="1:49" ht="45" customHeight="1">
      <c r="A1" s="1"/>
      <c r="J1"/>
      <c r="K1"/>
      <c r="L1"/>
      <c r="M1"/>
      <c r="N1"/>
      <c r="O1"/>
      <c r="P1"/>
      <c r="Q1"/>
      <c r="R1"/>
      <c r="S1"/>
      <c r="T1"/>
      <c r="U1"/>
      <c r="V1"/>
      <c r="W1"/>
      <c r="X1"/>
      <c r="Y1"/>
      <c r="Z1"/>
      <c r="AA1"/>
      <c r="AB1"/>
      <c r="AC1"/>
      <c r="AD1"/>
      <c r="AE1"/>
      <c r="AF1"/>
      <c r="AG1"/>
      <c r="AH1"/>
      <c r="AI1"/>
      <c r="AJ1"/>
      <c r="AK1"/>
      <c r="AL1"/>
      <c r="AM1"/>
      <c r="AN1"/>
      <c r="AO1"/>
      <c r="AP1"/>
      <c r="AQ1"/>
      <c r="AR1"/>
      <c r="AS1"/>
      <c r="AT1"/>
      <c r="AU1"/>
      <c r="AV1"/>
      <c r="AW1"/>
    </row>
    <row r="2" spans="1:49" ht="18">
      <c r="B2" s="3" t="s">
        <v>113</v>
      </c>
      <c r="J2"/>
      <c r="K2"/>
      <c r="L2"/>
      <c r="M2"/>
      <c r="N2"/>
      <c r="O2"/>
      <c r="P2"/>
      <c r="Q2"/>
      <c r="R2"/>
      <c r="S2"/>
      <c r="T2"/>
      <c r="U2"/>
      <c r="V2"/>
      <c r="W2"/>
      <c r="X2"/>
      <c r="Y2"/>
      <c r="Z2"/>
      <c r="AA2"/>
      <c r="AB2"/>
      <c r="AC2"/>
      <c r="AD2"/>
      <c r="AE2"/>
      <c r="AF2"/>
      <c r="AG2"/>
      <c r="AH2"/>
      <c r="AI2"/>
      <c r="AJ2"/>
      <c r="AK2"/>
      <c r="AL2"/>
      <c r="AM2"/>
      <c r="AN2"/>
      <c r="AO2"/>
      <c r="AP2"/>
      <c r="AQ2"/>
      <c r="AR2"/>
      <c r="AS2"/>
      <c r="AT2"/>
      <c r="AU2"/>
      <c r="AV2"/>
      <c r="AW2"/>
    </row>
    <row r="3" spans="1:49">
      <c r="J3"/>
      <c r="K3"/>
      <c r="L3"/>
      <c r="M3"/>
      <c r="N3"/>
      <c r="O3"/>
      <c r="P3"/>
      <c r="Q3"/>
      <c r="R3"/>
      <c r="S3"/>
      <c r="T3"/>
      <c r="U3"/>
      <c r="V3"/>
      <c r="W3"/>
      <c r="X3"/>
      <c r="Y3"/>
      <c r="Z3"/>
      <c r="AA3"/>
      <c r="AB3"/>
      <c r="AC3"/>
      <c r="AD3"/>
      <c r="AE3"/>
      <c r="AF3"/>
      <c r="AG3"/>
      <c r="AH3"/>
      <c r="AI3"/>
      <c r="AJ3"/>
      <c r="AK3"/>
      <c r="AL3"/>
      <c r="AM3"/>
      <c r="AN3"/>
      <c r="AO3"/>
      <c r="AP3"/>
      <c r="AQ3"/>
      <c r="AR3"/>
      <c r="AS3"/>
      <c r="AT3"/>
      <c r="AU3"/>
      <c r="AV3"/>
      <c r="AW3"/>
    </row>
    <row r="4" spans="1:49" ht="18">
      <c r="B4" s="123"/>
      <c r="C4" s="124"/>
      <c r="D4" s="124"/>
      <c r="E4" s="124"/>
      <c r="F4" s="124"/>
      <c r="G4" s="124"/>
      <c r="H4" s="124"/>
      <c r="I4" s="124"/>
      <c r="J4" s="124"/>
      <c r="K4" s="124"/>
      <c r="L4" s="124"/>
      <c r="M4" s="124"/>
      <c r="N4" s="124"/>
      <c r="O4" s="124"/>
      <c r="P4" s="124"/>
      <c r="Q4"/>
      <c r="R4"/>
      <c r="S4"/>
      <c r="T4"/>
      <c r="U4"/>
      <c r="V4"/>
      <c r="W4"/>
      <c r="X4"/>
      <c r="Y4"/>
      <c r="Z4"/>
      <c r="AA4"/>
      <c r="AB4"/>
      <c r="AC4"/>
      <c r="AD4"/>
      <c r="AE4"/>
      <c r="AF4"/>
      <c r="AG4"/>
      <c r="AH4"/>
      <c r="AI4"/>
      <c r="AJ4"/>
      <c r="AK4"/>
      <c r="AL4"/>
      <c r="AM4"/>
      <c r="AN4"/>
      <c r="AO4"/>
      <c r="AP4"/>
      <c r="AQ4"/>
      <c r="AR4"/>
      <c r="AS4"/>
      <c r="AT4"/>
      <c r="AU4"/>
      <c r="AV4"/>
      <c r="AW4"/>
    </row>
    <row r="5" spans="1:49" ht="45" customHeight="1">
      <c r="A5" s="1"/>
    </row>
    <row r="6" spans="1:49" ht="18">
      <c r="B6" s="3" t="s">
        <v>113</v>
      </c>
      <c r="I6" s="26" t="s">
        <v>77</v>
      </c>
      <c r="J6" s="26">
        <f>Assumptions!H6</f>
        <v>2023</v>
      </c>
      <c r="K6" s="26">
        <f>Assumptions!I6</f>
        <v>2024</v>
      </c>
      <c r="L6" s="26">
        <f>Assumptions!J6</f>
        <v>2025</v>
      </c>
      <c r="M6" s="26">
        <f>Assumptions!K6</f>
        <v>2026</v>
      </c>
      <c r="N6" s="26">
        <f>Assumptions!L6</f>
        <v>2027</v>
      </c>
      <c r="O6" s="26">
        <f>Assumptions!M6</f>
        <v>2028</v>
      </c>
      <c r="P6" s="26">
        <f>Assumptions!N6</f>
        <v>2029</v>
      </c>
      <c r="Q6" s="26">
        <f>Assumptions!O6</f>
        <v>2030</v>
      </c>
      <c r="R6" s="26">
        <f>Assumptions!P6</f>
        <v>2031</v>
      </c>
      <c r="S6" s="26">
        <f>Assumptions!Q6</f>
        <v>2032</v>
      </c>
      <c r="T6" s="26">
        <f>Assumptions!R6</f>
        <v>2033</v>
      </c>
      <c r="U6" s="26">
        <f>Assumptions!S6</f>
        <v>2034</v>
      </c>
      <c r="V6" s="26">
        <f>Assumptions!T6</f>
        <v>2035</v>
      </c>
      <c r="W6" s="26">
        <f>Assumptions!U6</f>
        <v>2036</v>
      </c>
      <c r="X6" s="26">
        <f>Assumptions!V6</f>
        <v>2037</v>
      </c>
      <c r="Y6" s="26">
        <f>Assumptions!W6</f>
        <v>2038</v>
      </c>
      <c r="Z6" s="26">
        <f>Assumptions!X6</f>
        <v>2039</v>
      </c>
      <c r="AA6" s="26">
        <f>Assumptions!Y6</f>
        <v>2040</v>
      </c>
      <c r="AB6" s="26">
        <f>Assumptions!Z6</f>
        <v>2041</v>
      </c>
      <c r="AC6" s="26">
        <f>Assumptions!AA6</f>
        <v>2042</v>
      </c>
      <c r="AD6" s="26">
        <f>Assumptions!AB6</f>
        <v>2043</v>
      </c>
      <c r="AE6" s="26">
        <f>Assumptions!AC6</f>
        <v>2044</v>
      </c>
      <c r="AF6" s="26">
        <f>Assumptions!AD6</f>
        <v>2045</v>
      </c>
      <c r="AG6" s="26">
        <f>Assumptions!AE6</f>
        <v>2046</v>
      </c>
      <c r="AH6" s="26">
        <f>Assumptions!AF6</f>
        <v>2047</v>
      </c>
      <c r="AI6" s="26">
        <f>Assumptions!AG6</f>
        <v>2048</v>
      </c>
      <c r="AJ6" s="26">
        <f>Assumptions!AH6</f>
        <v>2049</v>
      </c>
      <c r="AK6" s="26">
        <f>Assumptions!AI6</f>
        <v>2050</v>
      </c>
      <c r="AL6" s="26">
        <f>Assumptions!AJ6</f>
        <v>2051</v>
      </c>
      <c r="AM6" s="26">
        <f>Assumptions!AK6</f>
        <v>2052</v>
      </c>
      <c r="AN6" s="26">
        <f>Assumptions!AL6</f>
        <v>2053</v>
      </c>
      <c r="AO6" s="26">
        <f>Assumptions!AM6</f>
        <v>2054</v>
      </c>
      <c r="AP6" s="26">
        <f>Assumptions!AN6</f>
        <v>2055</v>
      </c>
      <c r="AQ6" s="26">
        <f>Assumptions!AO6</f>
        <v>2056</v>
      </c>
      <c r="AR6" s="26">
        <f>Assumptions!AP6</f>
        <v>2057</v>
      </c>
      <c r="AS6" s="26">
        <f>Assumptions!AQ6</f>
        <v>2058</v>
      </c>
      <c r="AT6" s="26">
        <f>Assumptions!AR6</f>
        <v>2059</v>
      </c>
      <c r="AU6" s="26">
        <f>Assumptions!AS6</f>
        <v>2060</v>
      </c>
      <c r="AV6" s="26">
        <f>Assumptions!AT6</f>
        <v>2061</v>
      </c>
      <c r="AW6" s="26">
        <f>Assumptions!AU6</f>
        <v>2062</v>
      </c>
    </row>
    <row r="7" spans="1:49">
      <c r="I7" s="26" t="s">
        <v>78</v>
      </c>
      <c r="J7" s="26">
        <f>Assumptions!H7</f>
        <v>1</v>
      </c>
      <c r="K7" s="26">
        <f>Assumptions!I7</f>
        <v>2</v>
      </c>
      <c r="L7" s="26">
        <f>Assumptions!J7</f>
        <v>3</v>
      </c>
      <c r="M7" s="26">
        <f>Assumptions!K7</f>
        <v>4</v>
      </c>
      <c r="N7" s="26">
        <f>Assumptions!L7</f>
        <v>5</v>
      </c>
      <c r="O7" s="26">
        <f>Assumptions!M7</f>
        <v>6</v>
      </c>
      <c r="P7" s="26">
        <f>Assumptions!N7</f>
        <v>7</v>
      </c>
      <c r="Q7" s="26">
        <f>Assumptions!O7</f>
        <v>8</v>
      </c>
      <c r="R7" s="26">
        <f>Assumptions!P7</f>
        <v>9</v>
      </c>
      <c r="S7" s="26">
        <f>Assumptions!Q7</f>
        <v>10</v>
      </c>
      <c r="T7" s="26">
        <f>Assumptions!R7</f>
        <v>11</v>
      </c>
      <c r="U7" s="26">
        <f>Assumptions!S7</f>
        <v>12</v>
      </c>
      <c r="V7" s="26">
        <f>Assumptions!T7</f>
        <v>13</v>
      </c>
      <c r="W7" s="26">
        <f>Assumptions!U7</f>
        <v>14</v>
      </c>
      <c r="X7" s="26">
        <f>Assumptions!V7</f>
        <v>15</v>
      </c>
      <c r="Y7" s="26">
        <f>Assumptions!W7</f>
        <v>16</v>
      </c>
      <c r="Z7" s="26">
        <f>Assumptions!X7</f>
        <v>17</v>
      </c>
      <c r="AA7" s="26">
        <f>Assumptions!Y7</f>
        <v>18</v>
      </c>
      <c r="AB7" s="26">
        <f>Assumptions!Z7</f>
        <v>19</v>
      </c>
      <c r="AC7" s="26">
        <f>Assumptions!AA7</f>
        <v>20</v>
      </c>
      <c r="AD7" s="26">
        <f>Assumptions!AB7</f>
        <v>21</v>
      </c>
      <c r="AE7" s="26">
        <f>Assumptions!AC7</f>
        <v>22</v>
      </c>
      <c r="AF7" s="26">
        <f>Assumptions!AD7</f>
        <v>23</v>
      </c>
      <c r="AG7" s="26">
        <f>Assumptions!AE7</f>
        <v>24</v>
      </c>
      <c r="AH7" s="26">
        <f>Assumptions!AF7</f>
        <v>25</v>
      </c>
      <c r="AI7" s="26">
        <f>Assumptions!AG7</f>
        <v>26</v>
      </c>
      <c r="AJ7" s="26">
        <f>Assumptions!AH7</f>
        <v>27</v>
      </c>
      <c r="AK7" s="26">
        <f>Assumptions!AI7</f>
        <v>28</v>
      </c>
      <c r="AL7" s="26">
        <f>Assumptions!AJ7</f>
        <v>29</v>
      </c>
      <c r="AM7" s="26">
        <f>Assumptions!AK7</f>
        <v>30</v>
      </c>
      <c r="AN7" s="26">
        <f>Assumptions!AL7</f>
        <v>31</v>
      </c>
      <c r="AO7" s="26">
        <f>Assumptions!AM7</f>
        <v>32</v>
      </c>
      <c r="AP7" s="26">
        <f>Assumptions!AN7</f>
        <v>33</v>
      </c>
      <c r="AQ7" s="26">
        <f>Assumptions!AO7</f>
        <v>34</v>
      </c>
      <c r="AR7" s="26">
        <f>Assumptions!AP7</f>
        <v>35</v>
      </c>
      <c r="AS7" s="26">
        <f>Assumptions!AQ7</f>
        <v>36</v>
      </c>
      <c r="AT7" s="26">
        <f>Assumptions!AR7</f>
        <v>37</v>
      </c>
      <c r="AU7" s="26">
        <f>Assumptions!AS7</f>
        <v>38</v>
      </c>
      <c r="AV7" s="26">
        <f>Assumptions!AT7</f>
        <v>39</v>
      </c>
      <c r="AW7" s="26">
        <f>Assumptions!AU7</f>
        <v>40</v>
      </c>
    </row>
    <row r="8" spans="1:49" ht="15">
      <c r="B8" s="2" t="s">
        <v>114</v>
      </c>
      <c r="C8" s="2"/>
      <c r="E8" t="s">
        <v>115</v>
      </c>
      <c r="G8" t="s">
        <v>116</v>
      </c>
    </row>
    <row r="9" spans="1:49">
      <c r="B9" s="4" t="s">
        <v>117</v>
      </c>
      <c r="C9" s="12" t="s">
        <v>43</v>
      </c>
      <c r="E9" s="25">
        <f>Dashboard!C11</f>
        <v>2023</v>
      </c>
      <c r="G9" s="8"/>
      <c r="J9" s="37">
        <f>IF(J$6&gt;=$E9,1,0)</f>
        <v>1</v>
      </c>
      <c r="K9" s="37">
        <f t="shared" ref="K9:AW9" si="0">IF(K$6&gt;=$E9,1,0)</f>
        <v>1</v>
      </c>
      <c r="L9" s="37">
        <f t="shared" si="0"/>
        <v>1</v>
      </c>
      <c r="M9" s="37">
        <f t="shared" si="0"/>
        <v>1</v>
      </c>
      <c r="N9" s="37">
        <f t="shared" si="0"/>
        <v>1</v>
      </c>
      <c r="O9" s="37">
        <f t="shared" si="0"/>
        <v>1</v>
      </c>
      <c r="P9" s="37">
        <f t="shared" si="0"/>
        <v>1</v>
      </c>
      <c r="Q9" s="37">
        <f t="shared" si="0"/>
        <v>1</v>
      </c>
      <c r="R9" s="37">
        <f t="shared" si="0"/>
        <v>1</v>
      </c>
      <c r="S9" s="37">
        <f t="shared" si="0"/>
        <v>1</v>
      </c>
      <c r="T9" s="37">
        <f t="shared" si="0"/>
        <v>1</v>
      </c>
      <c r="U9" s="37">
        <f t="shared" si="0"/>
        <v>1</v>
      </c>
      <c r="V9" s="37">
        <f t="shared" si="0"/>
        <v>1</v>
      </c>
      <c r="W9" s="37">
        <f t="shared" si="0"/>
        <v>1</v>
      </c>
      <c r="X9" s="37">
        <f t="shared" si="0"/>
        <v>1</v>
      </c>
      <c r="Y9" s="37">
        <f t="shared" si="0"/>
        <v>1</v>
      </c>
      <c r="Z9" s="37">
        <f t="shared" si="0"/>
        <v>1</v>
      </c>
      <c r="AA9" s="37">
        <f t="shared" si="0"/>
        <v>1</v>
      </c>
      <c r="AB9" s="37">
        <f t="shared" si="0"/>
        <v>1</v>
      </c>
      <c r="AC9" s="37">
        <f t="shared" si="0"/>
        <v>1</v>
      </c>
      <c r="AD9" s="37">
        <f t="shared" si="0"/>
        <v>1</v>
      </c>
      <c r="AE9" s="37">
        <f t="shared" si="0"/>
        <v>1</v>
      </c>
      <c r="AF9" s="37">
        <f t="shared" si="0"/>
        <v>1</v>
      </c>
      <c r="AG9" s="37">
        <f t="shared" si="0"/>
        <v>1</v>
      </c>
      <c r="AH9" s="37">
        <f t="shared" si="0"/>
        <v>1</v>
      </c>
      <c r="AI9" s="37">
        <f t="shared" si="0"/>
        <v>1</v>
      </c>
      <c r="AJ9" s="37">
        <f t="shared" si="0"/>
        <v>1</v>
      </c>
      <c r="AK9" s="37">
        <f t="shared" si="0"/>
        <v>1</v>
      </c>
      <c r="AL9" s="37">
        <f t="shared" si="0"/>
        <v>1</v>
      </c>
      <c r="AM9" s="37">
        <f t="shared" si="0"/>
        <v>1</v>
      </c>
      <c r="AN9" s="37">
        <f t="shared" si="0"/>
        <v>1</v>
      </c>
      <c r="AO9" s="37">
        <f t="shared" si="0"/>
        <v>1</v>
      </c>
      <c r="AP9" s="37">
        <f t="shared" si="0"/>
        <v>1</v>
      </c>
      <c r="AQ9" s="37">
        <f t="shared" si="0"/>
        <v>1</v>
      </c>
      <c r="AR9" s="37">
        <f t="shared" si="0"/>
        <v>1</v>
      </c>
      <c r="AS9" s="37">
        <f t="shared" si="0"/>
        <v>1</v>
      </c>
      <c r="AT9" s="37">
        <f t="shared" si="0"/>
        <v>1</v>
      </c>
      <c r="AU9" s="37">
        <f t="shared" si="0"/>
        <v>1</v>
      </c>
      <c r="AV9" s="37">
        <f t="shared" si="0"/>
        <v>1</v>
      </c>
      <c r="AW9" s="37">
        <f t="shared" si="0"/>
        <v>1</v>
      </c>
    </row>
    <row r="10" spans="1:49">
      <c r="B10" s="4" t="s">
        <v>118</v>
      </c>
      <c r="C10" s="12" t="s">
        <v>43</v>
      </c>
      <c r="E10" s="240">
        <v>2025</v>
      </c>
      <c r="G10" s="8"/>
      <c r="J10" s="37">
        <f>IF(AND(J$6&lt;&gt;0,J$6&lt;=$E10),1,0)</f>
        <v>1</v>
      </c>
      <c r="K10" s="37">
        <f t="shared" ref="K10:AW10" si="1">IF(AND(K$6&lt;&gt;0,K$6&lt;=$E10),1,0)</f>
        <v>1</v>
      </c>
      <c r="L10" s="37">
        <f t="shared" si="1"/>
        <v>1</v>
      </c>
      <c r="M10" s="37">
        <f t="shared" si="1"/>
        <v>0</v>
      </c>
      <c r="N10" s="37">
        <f t="shared" si="1"/>
        <v>0</v>
      </c>
      <c r="O10" s="37">
        <f t="shared" si="1"/>
        <v>0</v>
      </c>
      <c r="P10" s="37">
        <f t="shared" si="1"/>
        <v>0</v>
      </c>
      <c r="Q10" s="37">
        <f t="shared" si="1"/>
        <v>0</v>
      </c>
      <c r="R10" s="37">
        <f t="shared" si="1"/>
        <v>0</v>
      </c>
      <c r="S10" s="37">
        <f t="shared" si="1"/>
        <v>0</v>
      </c>
      <c r="T10" s="37">
        <f t="shared" si="1"/>
        <v>0</v>
      </c>
      <c r="U10" s="37">
        <f t="shared" si="1"/>
        <v>0</v>
      </c>
      <c r="V10" s="37">
        <f t="shared" si="1"/>
        <v>0</v>
      </c>
      <c r="W10" s="37">
        <f t="shared" si="1"/>
        <v>0</v>
      </c>
      <c r="X10" s="37">
        <f t="shared" si="1"/>
        <v>0</v>
      </c>
      <c r="Y10" s="37">
        <f t="shared" si="1"/>
        <v>0</v>
      </c>
      <c r="Z10" s="37">
        <f t="shared" si="1"/>
        <v>0</v>
      </c>
      <c r="AA10" s="37">
        <f t="shared" si="1"/>
        <v>0</v>
      </c>
      <c r="AB10" s="37">
        <f t="shared" si="1"/>
        <v>0</v>
      </c>
      <c r="AC10" s="37">
        <f t="shared" si="1"/>
        <v>0</v>
      </c>
      <c r="AD10" s="37">
        <f t="shared" si="1"/>
        <v>0</v>
      </c>
      <c r="AE10" s="37">
        <f t="shared" si="1"/>
        <v>0</v>
      </c>
      <c r="AF10" s="37">
        <f t="shared" si="1"/>
        <v>0</v>
      </c>
      <c r="AG10" s="37">
        <f t="shared" si="1"/>
        <v>0</v>
      </c>
      <c r="AH10" s="37">
        <f t="shared" si="1"/>
        <v>0</v>
      </c>
      <c r="AI10" s="37">
        <f t="shared" si="1"/>
        <v>0</v>
      </c>
      <c r="AJ10" s="37">
        <f t="shared" si="1"/>
        <v>0</v>
      </c>
      <c r="AK10" s="37">
        <f t="shared" si="1"/>
        <v>0</v>
      </c>
      <c r="AL10" s="37">
        <f t="shared" si="1"/>
        <v>0</v>
      </c>
      <c r="AM10" s="37">
        <f t="shared" si="1"/>
        <v>0</v>
      </c>
      <c r="AN10" s="37">
        <f t="shared" si="1"/>
        <v>0</v>
      </c>
      <c r="AO10" s="37">
        <f t="shared" si="1"/>
        <v>0</v>
      </c>
      <c r="AP10" s="37">
        <f t="shared" si="1"/>
        <v>0</v>
      </c>
      <c r="AQ10" s="37">
        <f t="shared" si="1"/>
        <v>0</v>
      </c>
      <c r="AR10" s="37">
        <f t="shared" si="1"/>
        <v>0</v>
      </c>
      <c r="AS10" s="37">
        <f t="shared" si="1"/>
        <v>0</v>
      </c>
      <c r="AT10" s="37">
        <f t="shared" si="1"/>
        <v>0</v>
      </c>
      <c r="AU10" s="37">
        <f t="shared" si="1"/>
        <v>0</v>
      </c>
      <c r="AV10" s="37">
        <f t="shared" si="1"/>
        <v>0</v>
      </c>
      <c r="AW10" s="37">
        <f t="shared" si="1"/>
        <v>0</v>
      </c>
    </row>
    <row r="11" spans="1:49">
      <c r="B11" s="4" t="s">
        <v>119</v>
      </c>
      <c r="C11" s="12"/>
      <c r="J11" s="37">
        <f>IF(AND(J10=1,J9=1),1,0)</f>
        <v>1</v>
      </c>
      <c r="K11" s="37">
        <f t="shared" ref="K11:AW11" si="2">IF(AND(K10=1,K9=1),1,0)</f>
        <v>1</v>
      </c>
      <c r="L11" s="37">
        <f t="shared" si="2"/>
        <v>1</v>
      </c>
      <c r="M11" s="37">
        <f t="shared" si="2"/>
        <v>0</v>
      </c>
      <c r="N11" s="37">
        <f t="shared" si="2"/>
        <v>0</v>
      </c>
      <c r="O11" s="37">
        <f t="shared" si="2"/>
        <v>0</v>
      </c>
      <c r="P11" s="37">
        <f t="shared" si="2"/>
        <v>0</v>
      </c>
      <c r="Q11" s="37">
        <f t="shared" si="2"/>
        <v>0</v>
      </c>
      <c r="R11" s="37">
        <f t="shared" si="2"/>
        <v>0</v>
      </c>
      <c r="S11" s="37">
        <f t="shared" si="2"/>
        <v>0</v>
      </c>
      <c r="T11" s="37">
        <f t="shared" si="2"/>
        <v>0</v>
      </c>
      <c r="U11" s="37">
        <f t="shared" si="2"/>
        <v>0</v>
      </c>
      <c r="V11" s="37">
        <f t="shared" si="2"/>
        <v>0</v>
      </c>
      <c r="W11" s="37">
        <f t="shared" si="2"/>
        <v>0</v>
      </c>
      <c r="X11" s="37">
        <f t="shared" si="2"/>
        <v>0</v>
      </c>
      <c r="Y11" s="37">
        <f t="shared" si="2"/>
        <v>0</v>
      </c>
      <c r="Z11" s="37">
        <f t="shared" si="2"/>
        <v>0</v>
      </c>
      <c r="AA11" s="37">
        <f t="shared" si="2"/>
        <v>0</v>
      </c>
      <c r="AB11" s="37">
        <f t="shared" si="2"/>
        <v>0</v>
      </c>
      <c r="AC11" s="37">
        <f t="shared" si="2"/>
        <v>0</v>
      </c>
      <c r="AD11" s="37">
        <f t="shared" si="2"/>
        <v>0</v>
      </c>
      <c r="AE11" s="37">
        <f t="shared" si="2"/>
        <v>0</v>
      </c>
      <c r="AF11" s="37">
        <f t="shared" si="2"/>
        <v>0</v>
      </c>
      <c r="AG11" s="37">
        <f t="shared" si="2"/>
        <v>0</v>
      </c>
      <c r="AH11" s="37">
        <f t="shared" si="2"/>
        <v>0</v>
      </c>
      <c r="AI11" s="37">
        <f t="shared" si="2"/>
        <v>0</v>
      </c>
      <c r="AJ11" s="37">
        <f t="shared" si="2"/>
        <v>0</v>
      </c>
      <c r="AK11" s="37">
        <f t="shared" si="2"/>
        <v>0</v>
      </c>
      <c r="AL11" s="37">
        <f t="shared" si="2"/>
        <v>0</v>
      </c>
      <c r="AM11" s="37">
        <f t="shared" si="2"/>
        <v>0</v>
      </c>
      <c r="AN11" s="37">
        <f t="shared" si="2"/>
        <v>0</v>
      </c>
      <c r="AO11" s="37">
        <f t="shared" si="2"/>
        <v>0</v>
      </c>
      <c r="AP11" s="37">
        <f t="shared" si="2"/>
        <v>0</v>
      </c>
      <c r="AQ11" s="37">
        <f t="shared" si="2"/>
        <v>0</v>
      </c>
      <c r="AR11" s="37">
        <f t="shared" si="2"/>
        <v>0</v>
      </c>
      <c r="AS11" s="37">
        <f t="shared" si="2"/>
        <v>0</v>
      </c>
      <c r="AT11" s="37">
        <f t="shared" si="2"/>
        <v>0</v>
      </c>
      <c r="AU11" s="37">
        <f t="shared" si="2"/>
        <v>0</v>
      </c>
      <c r="AV11" s="37">
        <f t="shared" si="2"/>
        <v>0</v>
      </c>
      <c r="AW11" s="37">
        <f t="shared" si="2"/>
        <v>0</v>
      </c>
    </row>
    <row r="12" spans="1:49">
      <c r="B12" s="4" t="s">
        <v>120</v>
      </c>
      <c r="C12" s="12" t="s">
        <v>43</v>
      </c>
      <c r="E12" s="194">
        <f>SUM(J11:AW11)</f>
        <v>3</v>
      </c>
    </row>
    <row r="13" spans="1:49">
      <c r="B13" s="4"/>
    </row>
    <row r="14" spans="1:49" ht="15">
      <c r="B14" s="9" t="s">
        <v>121</v>
      </c>
    </row>
    <row r="15" spans="1:49">
      <c r="B15" s="4" t="s">
        <v>122</v>
      </c>
      <c r="C15" s="12" t="s">
        <v>43</v>
      </c>
      <c r="E15" s="25">
        <f>Dashboard!C11</f>
        <v>2023</v>
      </c>
      <c r="G15" s="8"/>
      <c r="J15" s="37">
        <f>IF(J$6&gt;=$E15,1,0)</f>
        <v>1</v>
      </c>
      <c r="K15" s="37">
        <f t="shared" ref="K15:AW15" si="3">IF(K$6&gt;=$E15,1,0)</f>
        <v>1</v>
      </c>
      <c r="L15" s="37">
        <f t="shared" si="3"/>
        <v>1</v>
      </c>
      <c r="M15" s="37">
        <f t="shared" si="3"/>
        <v>1</v>
      </c>
      <c r="N15" s="37">
        <f t="shared" si="3"/>
        <v>1</v>
      </c>
      <c r="O15" s="37">
        <f t="shared" si="3"/>
        <v>1</v>
      </c>
      <c r="P15" s="37">
        <f t="shared" si="3"/>
        <v>1</v>
      </c>
      <c r="Q15" s="37">
        <f t="shared" si="3"/>
        <v>1</v>
      </c>
      <c r="R15" s="37">
        <f t="shared" si="3"/>
        <v>1</v>
      </c>
      <c r="S15" s="37">
        <f t="shared" si="3"/>
        <v>1</v>
      </c>
      <c r="T15" s="37">
        <f t="shared" si="3"/>
        <v>1</v>
      </c>
      <c r="U15" s="37">
        <f t="shared" si="3"/>
        <v>1</v>
      </c>
      <c r="V15" s="37">
        <f t="shared" si="3"/>
        <v>1</v>
      </c>
      <c r="W15" s="37">
        <f t="shared" si="3"/>
        <v>1</v>
      </c>
      <c r="X15" s="37">
        <f t="shared" si="3"/>
        <v>1</v>
      </c>
      <c r="Y15" s="37">
        <f t="shared" si="3"/>
        <v>1</v>
      </c>
      <c r="Z15" s="37">
        <f t="shared" si="3"/>
        <v>1</v>
      </c>
      <c r="AA15" s="37">
        <f t="shared" si="3"/>
        <v>1</v>
      </c>
      <c r="AB15" s="37">
        <f t="shared" si="3"/>
        <v>1</v>
      </c>
      <c r="AC15" s="37">
        <f t="shared" si="3"/>
        <v>1</v>
      </c>
      <c r="AD15" s="37">
        <f t="shared" si="3"/>
        <v>1</v>
      </c>
      <c r="AE15" s="37">
        <f t="shared" si="3"/>
        <v>1</v>
      </c>
      <c r="AF15" s="37">
        <f t="shared" si="3"/>
        <v>1</v>
      </c>
      <c r="AG15" s="37">
        <f t="shared" si="3"/>
        <v>1</v>
      </c>
      <c r="AH15" s="37">
        <f t="shared" si="3"/>
        <v>1</v>
      </c>
      <c r="AI15" s="37">
        <f t="shared" si="3"/>
        <v>1</v>
      </c>
      <c r="AJ15" s="37">
        <f t="shared" si="3"/>
        <v>1</v>
      </c>
      <c r="AK15" s="37">
        <f t="shared" si="3"/>
        <v>1</v>
      </c>
      <c r="AL15" s="37">
        <f t="shared" si="3"/>
        <v>1</v>
      </c>
      <c r="AM15" s="37">
        <f t="shared" si="3"/>
        <v>1</v>
      </c>
      <c r="AN15" s="37">
        <f t="shared" si="3"/>
        <v>1</v>
      </c>
      <c r="AO15" s="37">
        <f t="shared" si="3"/>
        <v>1</v>
      </c>
      <c r="AP15" s="37">
        <f t="shared" si="3"/>
        <v>1</v>
      </c>
      <c r="AQ15" s="37">
        <f t="shared" si="3"/>
        <v>1</v>
      </c>
      <c r="AR15" s="37">
        <f t="shared" si="3"/>
        <v>1</v>
      </c>
      <c r="AS15" s="37">
        <f t="shared" si="3"/>
        <v>1</v>
      </c>
      <c r="AT15" s="37">
        <f t="shared" si="3"/>
        <v>1</v>
      </c>
      <c r="AU15" s="37">
        <f t="shared" si="3"/>
        <v>1</v>
      </c>
      <c r="AV15" s="37">
        <f t="shared" si="3"/>
        <v>1</v>
      </c>
      <c r="AW15" s="37">
        <f t="shared" si="3"/>
        <v>1</v>
      </c>
    </row>
    <row r="16" spans="1:49">
      <c r="B16" s="4" t="s">
        <v>123</v>
      </c>
      <c r="C16" s="12" t="s">
        <v>43</v>
      </c>
      <c r="E16" s="240">
        <v>2025</v>
      </c>
      <c r="G16" s="8"/>
      <c r="J16" s="37">
        <f>IF(AND(J$6&lt;&gt;0,J$6&lt;=$E16),1,0)</f>
        <v>1</v>
      </c>
      <c r="K16" s="37">
        <f t="shared" ref="K16:AW16" si="4">IF(AND(K$6&lt;&gt;0,K$6&lt;=$E16),1,0)</f>
        <v>1</v>
      </c>
      <c r="L16" s="37">
        <f t="shared" si="4"/>
        <v>1</v>
      </c>
      <c r="M16" s="37">
        <f t="shared" si="4"/>
        <v>0</v>
      </c>
      <c r="N16" s="37">
        <f t="shared" si="4"/>
        <v>0</v>
      </c>
      <c r="O16" s="37">
        <f t="shared" si="4"/>
        <v>0</v>
      </c>
      <c r="P16" s="37">
        <f t="shared" si="4"/>
        <v>0</v>
      </c>
      <c r="Q16" s="37">
        <f t="shared" si="4"/>
        <v>0</v>
      </c>
      <c r="R16" s="37">
        <f t="shared" si="4"/>
        <v>0</v>
      </c>
      <c r="S16" s="37">
        <f t="shared" si="4"/>
        <v>0</v>
      </c>
      <c r="T16" s="37">
        <f t="shared" si="4"/>
        <v>0</v>
      </c>
      <c r="U16" s="37">
        <f t="shared" si="4"/>
        <v>0</v>
      </c>
      <c r="V16" s="37">
        <f t="shared" si="4"/>
        <v>0</v>
      </c>
      <c r="W16" s="37">
        <f t="shared" si="4"/>
        <v>0</v>
      </c>
      <c r="X16" s="37">
        <f t="shared" si="4"/>
        <v>0</v>
      </c>
      <c r="Y16" s="37">
        <f t="shared" si="4"/>
        <v>0</v>
      </c>
      <c r="Z16" s="37">
        <f t="shared" si="4"/>
        <v>0</v>
      </c>
      <c r="AA16" s="37">
        <f t="shared" si="4"/>
        <v>0</v>
      </c>
      <c r="AB16" s="37">
        <f t="shared" si="4"/>
        <v>0</v>
      </c>
      <c r="AC16" s="37">
        <f t="shared" si="4"/>
        <v>0</v>
      </c>
      <c r="AD16" s="37">
        <f t="shared" si="4"/>
        <v>0</v>
      </c>
      <c r="AE16" s="37">
        <f t="shared" si="4"/>
        <v>0</v>
      </c>
      <c r="AF16" s="37">
        <f t="shared" si="4"/>
        <v>0</v>
      </c>
      <c r="AG16" s="37">
        <f t="shared" si="4"/>
        <v>0</v>
      </c>
      <c r="AH16" s="37">
        <f t="shared" si="4"/>
        <v>0</v>
      </c>
      <c r="AI16" s="37">
        <f t="shared" si="4"/>
        <v>0</v>
      </c>
      <c r="AJ16" s="37">
        <f t="shared" si="4"/>
        <v>0</v>
      </c>
      <c r="AK16" s="37">
        <f t="shared" si="4"/>
        <v>0</v>
      </c>
      <c r="AL16" s="37">
        <f t="shared" si="4"/>
        <v>0</v>
      </c>
      <c r="AM16" s="37">
        <f t="shared" si="4"/>
        <v>0</v>
      </c>
      <c r="AN16" s="37">
        <f t="shared" si="4"/>
        <v>0</v>
      </c>
      <c r="AO16" s="37">
        <f t="shared" si="4"/>
        <v>0</v>
      </c>
      <c r="AP16" s="37">
        <f t="shared" si="4"/>
        <v>0</v>
      </c>
      <c r="AQ16" s="37">
        <f t="shared" si="4"/>
        <v>0</v>
      </c>
      <c r="AR16" s="37">
        <f t="shared" si="4"/>
        <v>0</v>
      </c>
      <c r="AS16" s="37">
        <f t="shared" si="4"/>
        <v>0</v>
      </c>
      <c r="AT16" s="37">
        <f t="shared" si="4"/>
        <v>0</v>
      </c>
      <c r="AU16" s="37">
        <f t="shared" si="4"/>
        <v>0</v>
      </c>
      <c r="AV16" s="37">
        <f t="shared" si="4"/>
        <v>0</v>
      </c>
      <c r="AW16" s="37">
        <f t="shared" si="4"/>
        <v>0</v>
      </c>
    </row>
    <row r="17" spans="2:49">
      <c r="B17" s="4" t="s">
        <v>124</v>
      </c>
      <c r="C17" s="12"/>
      <c r="J17" s="37">
        <f>IF(AND(J16=1,J15=1),1,0)</f>
        <v>1</v>
      </c>
      <c r="K17" s="37">
        <f t="shared" ref="K17:AW17" si="5">IF(AND(K16=1,K15=1),1,0)</f>
        <v>1</v>
      </c>
      <c r="L17" s="37">
        <f t="shared" si="5"/>
        <v>1</v>
      </c>
      <c r="M17" s="37">
        <f t="shared" si="5"/>
        <v>0</v>
      </c>
      <c r="N17" s="37">
        <f t="shared" si="5"/>
        <v>0</v>
      </c>
      <c r="O17" s="37">
        <f t="shared" si="5"/>
        <v>0</v>
      </c>
      <c r="P17" s="37">
        <f t="shared" si="5"/>
        <v>0</v>
      </c>
      <c r="Q17" s="37">
        <f t="shared" si="5"/>
        <v>0</v>
      </c>
      <c r="R17" s="37">
        <f t="shared" si="5"/>
        <v>0</v>
      </c>
      <c r="S17" s="37">
        <f t="shared" si="5"/>
        <v>0</v>
      </c>
      <c r="T17" s="37">
        <f t="shared" si="5"/>
        <v>0</v>
      </c>
      <c r="U17" s="37">
        <f t="shared" si="5"/>
        <v>0</v>
      </c>
      <c r="V17" s="37">
        <f t="shared" si="5"/>
        <v>0</v>
      </c>
      <c r="W17" s="37">
        <f t="shared" si="5"/>
        <v>0</v>
      </c>
      <c r="X17" s="37">
        <f t="shared" si="5"/>
        <v>0</v>
      </c>
      <c r="Y17" s="37">
        <f t="shared" si="5"/>
        <v>0</v>
      </c>
      <c r="Z17" s="37">
        <f t="shared" si="5"/>
        <v>0</v>
      </c>
      <c r="AA17" s="37">
        <f t="shared" si="5"/>
        <v>0</v>
      </c>
      <c r="AB17" s="37">
        <f t="shared" si="5"/>
        <v>0</v>
      </c>
      <c r="AC17" s="37">
        <f t="shared" si="5"/>
        <v>0</v>
      </c>
      <c r="AD17" s="37">
        <f t="shared" si="5"/>
        <v>0</v>
      </c>
      <c r="AE17" s="37">
        <f t="shared" si="5"/>
        <v>0</v>
      </c>
      <c r="AF17" s="37">
        <f t="shared" si="5"/>
        <v>0</v>
      </c>
      <c r="AG17" s="37">
        <f t="shared" si="5"/>
        <v>0</v>
      </c>
      <c r="AH17" s="37">
        <f t="shared" si="5"/>
        <v>0</v>
      </c>
      <c r="AI17" s="37">
        <f t="shared" si="5"/>
        <v>0</v>
      </c>
      <c r="AJ17" s="37">
        <f t="shared" si="5"/>
        <v>0</v>
      </c>
      <c r="AK17" s="37">
        <f t="shared" si="5"/>
        <v>0</v>
      </c>
      <c r="AL17" s="37">
        <f t="shared" si="5"/>
        <v>0</v>
      </c>
      <c r="AM17" s="37">
        <f t="shared" si="5"/>
        <v>0</v>
      </c>
      <c r="AN17" s="37">
        <f t="shared" si="5"/>
        <v>0</v>
      </c>
      <c r="AO17" s="37">
        <f t="shared" si="5"/>
        <v>0</v>
      </c>
      <c r="AP17" s="37">
        <f t="shared" si="5"/>
        <v>0</v>
      </c>
      <c r="AQ17" s="37">
        <f t="shared" si="5"/>
        <v>0</v>
      </c>
      <c r="AR17" s="37">
        <f t="shared" si="5"/>
        <v>0</v>
      </c>
      <c r="AS17" s="37">
        <f t="shared" si="5"/>
        <v>0</v>
      </c>
      <c r="AT17" s="37">
        <f t="shared" si="5"/>
        <v>0</v>
      </c>
      <c r="AU17" s="37">
        <f t="shared" si="5"/>
        <v>0</v>
      </c>
      <c r="AV17" s="37">
        <f t="shared" si="5"/>
        <v>0</v>
      </c>
      <c r="AW17" s="37">
        <f t="shared" si="5"/>
        <v>0</v>
      </c>
    </row>
    <row r="18" spans="2:49">
      <c r="B18" s="4" t="s">
        <v>125</v>
      </c>
      <c r="C18" s="12" t="s">
        <v>43</v>
      </c>
      <c r="E18" s="194">
        <f>SUM(J17:AW17)</f>
        <v>3</v>
      </c>
    </row>
    <row r="19" spans="2:49">
      <c r="B19" s="4"/>
    </row>
    <row r="20" spans="2:49" ht="15">
      <c r="B20" s="9" t="s">
        <v>126</v>
      </c>
    </row>
    <row r="21" spans="2:49">
      <c r="B21" s="4" t="s">
        <v>127</v>
      </c>
      <c r="C21" s="12" t="s">
        <v>43</v>
      </c>
      <c r="E21" s="25">
        <f>E9+2</f>
        <v>2025</v>
      </c>
      <c r="G21" s="8"/>
      <c r="J21" s="37">
        <f t="shared" ref="J21:AV21" si="6">IF(J$6&gt;=$E21,1,0)</f>
        <v>0</v>
      </c>
      <c r="K21" s="37">
        <f t="shared" si="6"/>
        <v>0</v>
      </c>
      <c r="L21" s="37">
        <f t="shared" si="6"/>
        <v>1</v>
      </c>
      <c r="M21" s="37">
        <f t="shared" si="6"/>
        <v>1</v>
      </c>
      <c r="N21" s="37">
        <f t="shared" si="6"/>
        <v>1</v>
      </c>
      <c r="O21" s="37">
        <f t="shared" si="6"/>
        <v>1</v>
      </c>
      <c r="P21" s="37">
        <f t="shared" si="6"/>
        <v>1</v>
      </c>
      <c r="Q21" s="37">
        <f t="shared" si="6"/>
        <v>1</v>
      </c>
      <c r="R21" s="37">
        <f t="shared" si="6"/>
        <v>1</v>
      </c>
      <c r="S21" s="37">
        <f t="shared" si="6"/>
        <v>1</v>
      </c>
      <c r="T21" s="37">
        <f t="shared" si="6"/>
        <v>1</v>
      </c>
      <c r="U21" s="37">
        <f t="shared" si="6"/>
        <v>1</v>
      </c>
      <c r="V21" s="37">
        <f t="shared" si="6"/>
        <v>1</v>
      </c>
      <c r="W21" s="37">
        <f t="shared" si="6"/>
        <v>1</v>
      </c>
      <c r="X21" s="37">
        <f t="shared" si="6"/>
        <v>1</v>
      </c>
      <c r="Y21" s="37">
        <f t="shared" si="6"/>
        <v>1</v>
      </c>
      <c r="Z21" s="37">
        <f t="shared" si="6"/>
        <v>1</v>
      </c>
      <c r="AA21" s="37">
        <f t="shared" si="6"/>
        <v>1</v>
      </c>
      <c r="AB21" s="37">
        <f t="shared" si="6"/>
        <v>1</v>
      </c>
      <c r="AC21" s="37">
        <f t="shared" si="6"/>
        <v>1</v>
      </c>
      <c r="AD21" s="37">
        <f t="shared" si="6"/>
        <v>1</v>
      </c>
      <c r="AE21" s="37">
        <f t="shared" si="6"/>
        <v>1</v>
      </c>
      <c r="AF21" s="37">
        <f t="shared" si="6"/>
        <v>1</v>
      </c>
      <c r="AG21" s="37">
        <f t="shared" si="6"/>
        <v>1</v>
      </c>
      <c r="AH21" s="37">
        <f t="shared" si="6"/>
        <v>1</v>
      </c>
      <c r="AI21" s="37">
        <f t="shared" si="6"/>
        <v>1</v>
      </c>
      <c r="AJ21" s="37">
        <f t="shared" si="6"/>
        <v>1</v>
      </c>
      <c r="AK21" s="37">
        <f t="shared" si="6"/>
        <v>1</v>
      </c>
      <c r="AL21" s="37">
        <f t="shared" si="6"/>
        <v>1</v>
      </c>
      <c r="AM21" s="37">
        <f t="shared" si="6"/>
        <v>1</v>
      </c>
      <c r="AN21" s="37">
        <f t="shared" si="6"/>
        <v>1</v>
      </c>
      <c r="AO21" s="37">
        <f t="shared" si="6"/>
        <v>1</v>
      </c>
      <c r="AP21" s="37">
        <f t="shared" si="6"/>
        <v>1</v>
      </c>
      <c r="AQ21" s="37">
        <f t="shared" si="6"/>
        <v>1</v>
      </c>
      <c r="AR21" s="37">
        <f t="shared" si="6"/>
        <v>1</v>
      </c>
      <c r="AS21" s="37">
        <f t="shared" si="6"/>
        <v>1</v>
      </c>
      <c r="AT21" s="37">
        <f t="shared" si="6"/>
        <v>1</v>
      </c>
      <c r="AU21" s="37">
        <f t="shared" si="6"/>
        <v>1</v>
      </c>
      <c r="AV21" s="37">
        <f t="shared" si="6"/>
        <v>1</v>
      </c>
      <c r="AW21" s="37">
        <f>IF(AW$6&gt;=$E21,1,0)</f>
        <v>1</v>
      </c>
    </row>
    <row r="22" spans="2:49">
      <c r="B22" s="4" t="s">
        <v>128</v>
      </c>
      <c r="C22" s="12" t="s">
        <v>43</v>
      </c>
      <c r="E22" s="241">
        <f>Dashboard!C11+Dashboard!C9</f>
        <v>2063</v>
      </c>
      <c r="G22" s="8" t="s">
        <v>129</v>
      </c>
      <c r="J22" s="37">
        <f t="shared" ref="J22:AV22" si="7">IF(AND(J$6&lt;&gt;0,J$6&lt;=$E22),1,0)</f>
        <v>1</v>
      </c>
      <c r="K22" s="37">
        <f t="shared" si="7"/>
        <v>1</v>
      </c>
      <c r="L22" s="37">
        <f t="shared" si="7"/>
        <v>1</v>
      </c>
      <c r="M22" s="37">
        <f t="shared" si="7"/>
        <v>1</v>
      </c>
      <c r="N22" s="37">
        <f t="shared" si="7"/>
        <v>1</v>
      </c>
      <c r="O22" s="37">
        <f t="shared" si="7"/>
        <v>1</v>
      </c>
      <c r="P22" s="37">
        <f t="shared" si="7"/>
        <v>1</v>
      </c>
      <c r="Q22" s="37">
        <f t="shared" si="7"/>
        <v>1</v>
      </c>
      <c r="R22" s="37">
        <f t="shared" si="7"/>
        <v>1</v>
      </c>
      <c r="S22" s="37">
        <f t="shared" si="7"/>
        <v>1</v>
      </c>
      <c r="T22" s="37">
        <f t="shared" si="7"/>
        <v>1</v>
      </c>
      <c r="U22" s="37">
        <f t="shared" si="7"/>
        <v>1</v>
      </c>
      <c r="V22" s="37">
        <f t="shared" si="7"/>
        <v>1</v>
      </c>
      <c r="W22" s="37">
        <f t="shared" si="7"/>
        <v>1</v>
      </c>
      <c r="X22" s="37">
        <f t="shared" si="7"/>
        <v>1</v>
      </c>
      <c r="Y22" s="37">
        <f t="shared" si="7"/>
        <v>1</v>
      </c>
      <c r="Z22" s="37">
        <f t="shared" si="7"/>
        <v>1</v>
      </c>
      <c r="AA22" s="37">
        <f t="shared" si="7"/>
        <v>1</v>
      </c>
      <c r="AB22" s="37">
        <f t="shared" si="7"/>
        <v>1</v>
      </c>
      <c r="AC22" s="37">
        <f t="shared" si="7"/>
        <v>1</v>
      </c>
      <c r="AD22" s="37">
        <f t="shared" si="7"/>
        <v>1</v>
      </c>
      <c r="AE22" s="37">
        <f t="shared" si="7"/>
        <v>1</v>
      </c>
      <c r="AF22" s="37">
        <f t="shared" si="7"/>
        <v>1</v>
      </c>
      <c r="AG22" s="37">
        <f t="shared" si="7"/>
        <v>1</v>
      </c>
      <c r="AH22" s="37">
        <f t="shared" si="7"/>
        <v>1</v>
      </c>
      <c r="AI22" s="37">
        <f t="shared" si="7"/>
        <v>1</v>
      </c>
      <c r="AJ22" s="37">
        <f t="shared" si="7"/>
        <v>1</v>
      </c>
      <c r="AK22" s="37">
        <f t="shared" si="7"/>
        <v>1</v>
      </c>
      <c r="AL22" s="37">
        <f t="shared" si="7"/>
        <v>1</v>
      </c>
      <c r="AM22" s="37">
        <f t="shared" si="7"/>
        <v>1</v>
      </c>
      <c r="AN22" s="37">
        <f t="shared" si="7"/>
        <v>1</v>
      </c>
      <c r="AO22" s="37">
        <f t="shared" si="7"/>
        <v>1</v>
      </c>
      <c r="AP22" s="37">
        <f t="shared" si="7"/>
        <v>1</v>
      </c>
      <c r="AQ22" s="37">
        <f t="shared" si="7"/>
        <v>1</v>
      </c>
      <c r="AR22" s="37">
        <f t="shared" si="7"/>
        <v>1</v>
      </c>
      <c r="AS22" s="37">
        <f t="shared" si="7"/>
        <v>1</v>
      </c>
      <c r="AT22" s="37">
        <f t="shared" si="7"/>
        <v>1</v>
      </c>
      <c r="AU22" s="37">
        <f t="shared" si="7"/>
        <v>1</v>
      </c>
      <c r="AV22" s="37">
        <f t="shared" si="7"/>
        <v>1</v>
      </c>
      <c r="AW22" s="37">
        <f>IF(AND(AW$6&lt;&gt;0,AW$6&lt;=$E22),1,0)</f>
        <v>1</v>
      </c>
    </row>
    <row r="23" spans="2:49">
      <c r="B23" s="4" t="s">
        <v>130</v>
      </c>
      <c r="C23" s="12"/>
      <c r="J23" s="37">
        <f t="shared" ref="J23:AV23" si="8">IF(AND(J22=1,J21=1),1,0)</f>
        <v>0</v>
      </c>
      <c r="K23" s="37">
        <f t="shared" si="8"/>
        <v>0</v>
      </c>
      <c r="L23" s="37">
        <f t="shared" si="8"/>
        <v>1</v>
      </c>
      <c r="M23" s="37">
        <f t="shared" si="8"/>
        <v>1</v>
      </c>
      <c r="N23" s="37">
        <f t="shared" si="8"/>
        <v>1</v>
      </c>
      <c r="O23" s="37">
        <f t="shared" si="8"/>
        <v>1</v>
      </c>
      <c r="P23" s="37">
        <f t="shared" si="8"/>
        <v>1</v>
      </c>
      <c r="Q23" s="37">
        <f t="shared" si="8"/>
        <v>1</v>
      </c>
      <c r="R23" s="37">
        <f t="shared" si="8"/>
        <v>1</v>
      </c>
      <c r="S23" s="37">
        <f t="shared" si="8"/>
        <v>1</v>
      </c>
      <c r="T23" s="37">
        <f t="shared" si="8"/>
        <v>1</v>
      </c>
      <c r="U23" s="37">
        <f t="shared" si="8"/>
        <v>1</v>
      </c>
      <c r="V23" s="37">
        <f t="shared" si="8"/>
        <v>1</v>
      </c>
      <c r="W23" s="37">
        <f t="shared" si="8"/>
        <v>1</v>
      </c>
      <c r="X23" s="37">
        <f t="shared" si="8"/>
        <v>1</v>
      </c>
      <c r="Y23" s="37">
        <f t="shared" si="8"/>
        <v>1</v>
      </c>
      <c r="Z23" s="37">
        <f t="shared" si="8"/>
        <v>1</v>
      </c>
      <c r="AA23" s="37">
        <f t="shared" si="8"/>
        <v>1</v>
      </c>
      <c r="AB23" s="37">
        <f t="shared" si="8"/>
        <v>1</v>
      </c>
      <c r="AC23" s="37">
        <f t="shared" si="8"/>
        <v>1</v>
      </c>
      <c r="AD23" s="37">
        <f t="shared" si="8"/>
        <v>1</v>
      </c>
      <c r="AE23" s="37">
        <f t="shared" si="8"/>
        <v>1</v>
      </c>
      <c r="AF23" s="37">
        <f t="shared" si="8"/>
        <v>1</v>
      </c>
      <c r="AG23" s="37">
        <f t="shared" si="8"/>
        <v>1</v>
      </c>
      <c r="AH23" s="37">
        <f t="shared" si="8"/>
        <v>1</v>
      </c>
      <c r="AI23" s="37">
        <f t="shared" si="8"/>
        <v>1</v>
      </c>
      <c r="AJ23" s="37">
        <f t="shared" si="8"/>
        <v>1</v>
      </c>
      <c r="AK23" s="37">
        <f t="shared" si="8"/>
        <v>1</v>
      </c>
      <c r="AL23" s="37">
        <f t="shared" si="8"/>
        <v>1</v>
      </c>
      <c r="AM23" s="37">
        <f t="shared" si="8"/>
        <v>1</v>
      </c>
      <c r="AN23" s="37">
        <f t="shared" si="8"/>
        <v>1</v>
      </c>
      <c r="AO23" s="37">
        <f t="shared" si="8"/>
        <v>1</v>
      </c>
      <c r="AP23" s="37">
        <f t="shared" si="8"/>
        <v>1</v>
      </c>
      <c r="AQ23" s="37">
        <f t="shared" si="8"/>
        <v>1</v>
      </c>
      <c r="AR23" s="37">
        <f t="shared" si="8"/>
        <v>1</v>
      </c>
      <c r="AS23" s="37">
        <f t="shared" si="8"/>
        <v>1</v>
      </c>
      <c r="AT23" s="37">
        <f t="shared" si="8"/>
        <v>1</v>
      </c>
      <c r="AU23" s="37">
        <f t="shared" si="8"/>
        <v>1</v>
      </c>
      <c r="AV23" s="37">
        <f t="shared" si="8"/>
        <v>1</v>
      </c>
      <c r="AW23" s="37">
        <f>IF(AND(AW22=1,AW21=1),1,0)</f>
        <v>1</v>
      </c>
    </row>
    <row r="24" spans="2:49">
      <c r="B24" s="4" t="s">
        <v>131</v>
      </c>
      <c r="C24" s="12" t="s">
        <v>43</v>
      </c>
      <c r="E24" s="194">
        <f>SUM(J23:AW23)</f>
        <v>38</v>
      </c>
    </row>
    <row r="25" spans="2:49">
      <c r="B25" s="4"/>
    </row>
    <row r="26" spans="2:49">
      <c r="B26" s="4" t="s">
        <v>42</v>
      </c>
      <c r="C26" s="12" t="s">
        <v>43</v>
      </c>
      <c r="E26" s="244">
        <f>Dashboard!C9</f>
        <v>40</v>
      </c>
      <c r="J26" s="37"/>
    </row>
    <row r="28" spans="2:49" ht="15">
      <c r="B28" s="9" t="s">
        <v>132</v>
      </c>
    </row>
    <row r="29" spans="2:49">
      <c r="B29" s="4" t="s">
        <v>133</v>
      </c>
      <c r="C29" s="12" t="s">
        <v>43</v>
      </c>
      <c r="E29" s="84">
        <f>E9+3</f>
        <v>2026</v>
      </c>
      <c r="G29" s="8"/>
      <c r="J29" s="37">
        <f t="shared" ref="J29:AV29" si="9">IF(J$6&gt;=$E29,1,0)</f>
        <v>0</v>
      </c>
      <c r="K29" s="37">
        <f t="shared" si="9"/>
        <v>0</v>
      </c>
      <c r="L29" s="37">
        <f t="shared" si="9"/>
        <v>0</v>
      </c>
      <c r="M29" s="37">
        <f t="shared" si="9"/>
        <v>1</v>
      </c>
      <c r="N29" s="37">
        <f t="shared" si="9"/>
        <v>1</v>
      </c>
      <c r="O29" s="37">
        <f t="shared" si="9"/>
        <v>1</v>
      </c>
      <c r="P29" s="37">
        <f t="shared" si="9"/>
        <v>1</v>
      </c>
      <c r="Q29" s="37">
        <f t="shared" si="9"/>
        <v>1</v>
      </c>
      <c r="R29" s="37">
        <f t="shared" si="9"/>
        <v>1</v>
      </c>
      <c r="S29" s="37">
        <f t="shared" si="9"/>
        <v>1</v>
      </c>
      <c r="T29" s="37">
        <f t="shared" si="9"/>
        <v>1</v>
      </c>
      <c r="U29" s="37">
        <f t="shared" si="9"/>
        <v>1</v>
      </c>
      <c r="V29" s="37">
        <f t="shared" si="9"/>
        <v>1</v>
      </c>
      <c r="W29" s="37">
        <f t="shared" si="9"/>
        <v>1</v>
      </c>
      <c r="X29" s="37">
        <f t="shared" si="9"/>
        <v>1</v>
      </c>
      <c r="Y29" s="37">
        <f t="shared" si="9"/>
        <v>1</v>
      </c>
      <c r="Z29" s="37">
        <f t="shared" si="9"/>
        <v>1</v>
      </c>
      <c r="AA29" s="37">
        <f t="shared" si="9"/>
        <v>1</v>
      </c>
      <c r="AB29" s="37">
        <f t="shared" si="9"/>
        <v>1</v>
      </c>
      <c r="AC29" s="37">
        <f t="shared" si="9"/>
        <v>1</v>
      </c>
      <c r="AD29" s="37">
        <f t="shared" si="9"/>
        <v>1</v>
      </c>
      <c r="AE29" s="37">
        <f t="shared" si="9"/>
        <v>1</v>
      </c>
      <c r="AF29" s="37">
        <f t="shared" si="9"/>
        <v>1</v>
      </c>
      <c r="AG29" s="37">
        <f t="shared" si="9"/>
        <v>1</v>
      </c>
      <c r="AH29" s="37">
        <f t="shared" si="9"/>
        <v>1</v>
      </c>
      <c r="AI29" s="37">
        <f t="shared" si="9"/>
        <v>1</v>
      </c>
      <c r="AJ29" s="37">
        <f t="shared" si="9"/>
        <v>1</v>
      </c>
      <c r="AK29" s="37">
        <f t="shared" si="9"/>
        <v>1</v>
      </c>
      <c r="AL29" s="37">
        <f t="shared" si="9"/>
        <v>1</v>
      </c>
      <c r="AM29" s="37">
        <f t="shared" si="9"/>
        <v>1</v>
      </c>
      <c r="AN29" s="37">
        <f t="shared" si="9"/>
        <v>1</v>
      </c>
      <c r="AO29" s="37">
        <f t="shared" si="9"/>
        <v>1</v>
      </c>
      <c r="AP29" s="37">
        <f t="shared" si="9"/>
        <v>1</v>
      </c>
      <c r="AQ29" s="37">
        <f t="shared" si="9"/>
        <v>1</v>
      </c>
      <c r="AR29" s="37">
        <f t="shared" si="9"/>
        <v>1</v>
      </c>
      <c r="AS29" s="37">
        <f t="shared" si="9"/>
        <v>1</v>
      </c>
      <c r="AT29" s="37">
        <f t="shared" si="9"/>
        <v>1</v>
      </c>
      <c r="AU29" s="37">
        <f t="shared" si="9"/>
        <v>1</v>
      </c>
      <c r="AV29" s="37">
        <f t="shared" si="9"/>
        <v>1</v>
      </c>
      <c r="AW29" s="37">
        <f>IF(AW$6&gt;=$E29,1,0)</f>
        <v>1</v>
      </c>
    </row>
    <row r="30" spans="2:49">
      <c r="B30" s="4" t="s">
        <v>134</v>
      </c>
      <c r="C30" s="12" t="s">
        <v>43</v>
      </c>
      <c r="E30" s="198">
        <f>E22</f>
        <v>2063</v>
      </c>
      <c r="G30" s="8" t="s">
        <v>129</v>
      </c>
      <c r="J30" s="37">
        <f t="shared" ref="J30:AV30" si="10">IF(AND(J$6&lt;&gt;0,J$6&lt;=$E30),1,0)</f>
        <v>1</v>
      </c>
      <c r="K30" s="37">
        <f t="shared" si="10"/>
        <v>1</v>
      </c>
      <c r="L30" s="37">
        <f t="shared" si="10"/>
        <v>1</v>
      </c>
      <c r="M30" s="37">
        <f t="shared" si="10"/>
        <v>1</v>
      </c>
      <c r="N30" s="37">
        <f t="shared" si="10"/>
        <v>1</v>
      </c>
      <c r="O30" s="37">
        <f t="shared" si="10"/>
        <v>1</v>
      </c>
      <c r="P30" s="37">
        <f t="shared" si="10"/>
        <v>1</v>
      </c>
      <c r="Q30" s="37">
        <f t="shared" si="10"/>
        <v>1</v>
      </c>
      <c r="R30" s="37">
        <f t="shared" si="10"/>
        <v>1</v>
      </c>
      <c r="S30" s="37">
        <f t="shared" si="10"/>
        <v>1</v>
      </c>
      <c r="T30" s="37">
        <f t="shared" si="10"/>
        <v>1</v>
      </c>
      <c r="U30" s="37">
        <f t="shared" si="10"/>
        <v>1</v>
      </c>
      <c r="V30" s="37">
        <f t="shared" si="10"/>
        <v>1</v>
      </c>
      <c r="W30" s="37">
        <f t="shared" si="10"/>
        <v>1</v>
      </c>
      <c r="X30" s="37">
        <f t="shared" si="10"/>
        <v>1</v>
      </c>
      <c r="Y30" s="37">
        <f t="shared" si="10"/>
        <v>1</v>
      </c>
      <c r="Z30" s="37">
        <f t="shared" si="10"/>
        <v>1</v>
      </c>
      <c r="AA30" s="37">
        <f t="shared" si="10"/>
        <v>1</v>
      </c>
      <c r="AB30" s="37">
        <f t="shared" si="10"/>
        <v>1</v>
      </c>
      <c r="AC30" s="37">
        <f t="shared" si="10"/>
        <v>1</v>
      </c>
      <c r="AD30" s="37">
        <f t="shared" si="10"/>
        <v>1</v>
      </c>
      <c r="AE30" s="37">
        <f t="shared" si="10"/>
        <v>1</v>
      </c>
      <c r="AF30" s="37">
        <f t="shared" si="10"/>
        <v>1</v>
      </c>
      <c r="AG30" s="37">
        <f t="shared" si="10"/>
        <v>1</v>
      </c>
      <c r="AH30" s="37">
        <f t="shared" si="10"/>
        <v>1</v>
      </c>
      <c r="AI30" s="37">
        <f t="shared" si="10"/>
        <v>1</v>
      </c>
      <c r="AJ30" s="37">
        <f t="shared" si="10"/>
        <v>1</v>
      </c>
      <c r="AK30" s="37">
        <f t="shared" si="10"/>
        <v>1</v>
      </c>
      <c r="AL30" s="37">
        <f t="shared" si="10"/>
        <v>1</v>
      </c>
      <c r="AM30" s="37">
        <f t="shared" si="10"/>
        <v>1</v>
      </c>
      <c r="AN30" s="37">
        <f t="shared" si="10"/>
        <v>1</v>
      </c>
      <c r="AO30" s="37">
        <f t="shared" si="10"/>
        <v>1</v>
      </c>
      <c r="AP30" s="37">
        <f t="shared" si="10"/>
        <v>1</v>
      </c>
      <c r="AQ30" s="37">
        <f t="shared" si="10"/>
        <v>1</v>
      </c>
      <c r="AR30" s="37">
        <f t="shared" si="10"/>
        <v>1</v>
      </c>
      <c r="AS30" s="37">
        <f t="shared" si="10"/>
        <v>1</v>
      </c>
      <c r="AT30" s="37">
        <f t="shared" si="10"/>
        <v>1</v>
      </c>
      <c r="AU30" s="37">
        <f t="shared" si="10"/>
        <v>1</v>
      </c>
      <c r="AV30" s="37">
        <f t="shared" si="10"/>
        <v>1</v>
      </c>
      <c r="AW30" s="37">
        <f>IF(AND(AW$6&lt;&gt;0,AW$6&lt;=$E30),1,0)</f>
        <v>1</v>
      </c>
    </row>
    <row r="31" spans="2:49">
      <c r="B31" s="4" t="s">
        <v>135</v>
      </c>
      <c r="C31" s="12"/>
      <c r="J31" s="37">
        <f t="shared" ref="J31:AV31" si="11">IF(AND(J30=1,J29=1),1,0)</f>
        <v>0</v>
      </c>
      <c r="K31" s="37">
        <f t="shared" si="11"/>
        <v>0</v>
      </c>
      <c r="L31" s="37">
        <f t="shared" si="11"/>
        <v>0</v>
      </c>
      <c r="M31" s="37">
        <f t="shared" si="11"/>
        <v>1</v>
      </c>
      <c r="N31" s="37">
        <f t="shared" si="11"/>
        <v>1</v>
      </c>
      <c r="O31" s="37">
        <f t="shared" si="11"/>
        <v>1</v>
      </c>
      <c r="P31" s="37">
        <f t="shared" si="11"/>
        <v>1</v>
      </c>
      <c r="Q31" s="37">
        <f t="shared" si="11"/>
        <v>1</v>
      </c>
      <c r="R31" s="37">
        <f t="shared" si="11"/>
        <v>1</v>
      </c>
      <c r="S31" s="37">
        <f t="shared" si="11"/>
        <v>1</v>
      </c>
      <c r="T31" s="37">
        <f t="shared" si="11"/>
        <v>1</v>
      </c>
      <c r="U31" s="37">
        <f t="shared" si="11"/>
        <v>1</v>
      </c>
      <c r="V31" s="37">
        <f t="shared" si="11"/>
        <v>1</v>
      </c>
      <c r="W31" s="37">
        <f t="shared" si="11"/>
        <v>1</v>
      </c>
      <c r="X31" s="37">
        <f t="shared" si="11"/>
        <v>1</v>
      </c>
      <c r="Y31" s="37">
        <f t="shared" si="11"/>
        <v>1</v>
      </c>
      <c r="Z31" s="37">
        <f t="shared" si="11"/>
        <v>1</v>
      </c>
      <c r="AA31" s="37">
        <f t="shared" si="11"/>
        <v>1</v>
      </c>
      <c r="AB31" s="37">
        <f t="shared" si="11"/>
        <v>1</v>
      </c>
      <c r="AC31" s="37">
        <f t="shared" si="11"/>
        <v>1</v>
      </c>
      <c r="AD31" s="37">
        <f t="shared" si="11"/>
        <v>1</v>
      </c>
      <c r="AE31" s="37">
        <f t="shared" si="11"/>
        <v>1</v>
      </c>
      <c r="AF31" s="37">
        <f t="shared" si="11"/>
        <v>1</v>
      </c>
      <c r="AG31" s="37">
        <f t="shared" si="11"/>
        <v>1</v>
      </c>
      <c r="AH31" s="37">
        <f t="shared" si="11"/>
        <v>1</v>
      </c>
      <c r="AI31" s="37">
        <f t="shared" si="11"/>
        <v>1</v>
      </c>
      <c r="AJ31" s="37">
        <f t="shared" si="11"/>
        <v>1</v>
      </c>
      <c r="AK31" s="37">
        <f t="shared" si="11"/>
        <v>1</v>
      </c>
      <c r="AL31" s="37">
        <f t="shared" si="11"/>
        <v>1</v>
      </c>
      <c r="AM31" s="37">
        <f t="shared" si="11"/>
        <v>1</v>
      </c>
      <c r="AN31" s="37">
        <f t="shared" si="11"/>
        <v>1</v>
      </c>
      <c r="AO31" s="37">
        <f t="shared" si="11"/>
        <v>1</v>
      </c>
      <c r="AP31" s="37">
        <f t="shared" si="11"/>
        <v>1</v>
      </c>
      <c r="AQ31" s="37">
        <f t="shared" si="11"/>
        <v>1</v>
      </c>
      <c r="AR31" s="37">
        <f t="shared" si="11"/>
        <v>1</v>
      </c>
      <c r="AS31" s="37">
        <f t="shared" si="11"/>
        <v>1</v>
      </c>
      <c r="AT31" s="37">
        <f t="shared" si="11"/>
        <v>1</v>
      </c>
      <c r="AU31" s="37">
        <f t="shared" si="11"/>
        <v>1</v>
      </c>
      <c r="AV31" s="37">
        <f t="shared" si="11"/>
        <v>1</v>
      </c>
      <c r="AW31" s="37">
        <f>IF(AND(AW30=1,AW29=1),1,0)</f>
        <v>1</v>
      </c>
    </row>
    <row r="32" spans="2:49">
      <c r="B32" s="4" t="s">
        <v>136</v>
      </c>
      <c r="C32" s="12" t="s">
        <v>43</v>
      </c>
      <c r="E32" s="194">
        <f>SUM(J31:AW31)</f>
        <v>37</v>
      </c>
    </row>
    <row r="33" spans="2:10">
      <c r="B33" s="4"/>
    </row>
    <row r="34" spans="2:10">
      <c r="B34" s="4" t="s">
        <v>137</v>
      </c>
      <c r="C34" s="12" t="s">
        <v>43</v>
      </c>
      <c r="E34" s="194">
        <f>E30-E29</f>
        <v>37</v>
      </c>
      <c r="J34" s="37"/>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DD89E-812D-45CC-A3C1-764872668A45}">
  <sheetPr>
    <tabColor theme="8"/>
  </sheetPr>
  <dimension ref="A1:P24"/>
  <sheetViews>
    <sheetView showGridLines="0" zoomScale="80" zoomScaleNormal="80" workbookViewId="0">
      <selection activeCell="F45" sqref="F45"/>
    </sheetView>
  </sheetViews>
  <sheetFormatPr defaultRowHeight="14.25"/>
  <cols>
    <col min="2" max="2" width="30.125" bestFit="1" customWidth="1"/>
    <col min="3" max="3" width="15.125" bestFit="1" customWidth="1"/>
    <col min="4" max="4" width="17.125" bestFit="1" customWidth="1"/>
  </cols>
  <sheetData>
    <row r="1" spans="1:16" ht="45" customHeight="1">
      <c r="A1" s="1"/>
    </row>
    <row r="2" spans="1:16" ht="18">
      <c r="B2" s="3" t="s">
        <v>138</v>
      </c>
    </row>
    <row r="4" spans="1:16" ht="18">
      <c r="B4" s="123"/>
      <c r="C4" s="124"/>
      <c r="D4" s="124"/>
      <c r="E4" s="124"/>
      <c r="F4" s="124"/>
      <c r="G4" s="124"/>
      <c r="H4" s="124"/>
      <c r="I4" s="124"/>
      <c r="J4" s="124"/>
      <c r="K4" s="124"/>
      <c r="L4" s="124"/>
      <c r="M4" s="124"/>
      <c r="N4" s="124"/>
      <c r="O4" s="124"/>
      <c r="P4" s="124"/>
    </row>
    <row r="6" spans="1:16" ht="15">
      <c r="B6" s="2" t="s">
        <v>139</v>
      </c>
      <c r="C6" s="2"/>
    </row>
    <row r="7" spans="1:16">
      <c r="B7" s="4"/>
    </row>
    <row r="8" spans="1:16" ht="15">
      <c r="B8" s="28" t="s">
        <v>140</v>
      </c>
      <c r="C8" s="30" t="s">
        <v>141</v>
      </c>
      <c r="D8" s="30" t="s">
        <v>142</v>
      </c>
    </row>
    <row r="9" spans="1:16">
      <c r="B9" s="29" t="s">
        <v>114</v>
      </c>
      <c r="C9" s="32">
        <f>Timeline!E9</f>
        <v>2023</v>
      </c>
      <c r="D9" s="32">
        <f>Timeline!E10</f>
        <v>2025</v>
      </c>
    </row>
    <row r="10" spans="1:16">
      <c r="B10" s="29" t="s">
        <v>121</v>
      </c>
      <c r="C10" s="32">
        <f>Timeline!E15</f>
        <v>2023</v>
      </c>
      <c r="D10" s="32">
        <f>Timeline!E16</f>
        <v>2025</v>
      </c>
    </row>
    <row r="11" spans="1:16">
      <c r="B11" s="29" t="s">
        <v>143</v>
      </c>
      <c r="C11" s="32">
        <f>Timeline!E21</f>
        <v>2025</v>
      </c>
      <c r="D11" s="32">
        <f>Timeline!E22</f>
        <v>2063</v>
      </c>
    </row>
    <row r="12" spans="1:16">
      <c r="B12" s="4"/>
    </row>
    <row r="13" spans="1:16" ht="15" hidden="1">
      <c r="B13" s="28" t="s">
        <v>144</v>
      </c>
      <c r="C13" s="30" t="s">
        <v>145</v>
      </c>
      <c r="D13" s="30" t="s">
        <v>146</v>
      </c>
    </row>
    <row r="14" spans="1:16" hidden="1">
      <c r="B14" s="29" t="s">
        <v>114</v>
      </c>
      <c r="C14" s="136">
        <v>1</v>
      </c>
      <c r="D14" s="137">
        <f>100%-C14</f>
        <v>0</v>
      </c>
      <c r="F14" s="1" t="s">
        <v>83</v>
      </c>
      <c r="H14" s="1"/>
    </row>
    <row r="15" spans="1:16" hidden="1">
      <c r="B15" s="29" t="s">
        <v>121</v>
      </c>
      <c r="C15" s="136">
        <v>1</v>
      </c>
      <c r="D15" s="137">
        <f t="shared" ref="D15:D16" si="0">100%-C15</f>
        <v>0</v>
      </c>
      <c r="F15" s="1" t="s">
        <v>83</v>
      </c>
      <c r="H15" s="1"/>
    </row>
    <row r="16" spans="1:16" hidden="1">
      <c r="B16" s="29" t="s">
        <v>143</v>
      </c>
      <c r="C16" s="136">
        <v>1</v>
      </c>
      <c r="D16" s="137">
        <f t="shared" si="0"/>
        <v>0</v>
      </c>
      <c r="F16" s="1" t="s">
        <v>83</v>
      </c>
      <c r="H16" s="1"/>
    </row>
    <row r="17" spans="2:6" hidden="1"/>
    <row r="18" spans="2:6" ht="15" hidden="1">
      <c r="B18" s="33"/>
    </row>
    <row r="19" spans="2:6" ht="15" hidden="1">
      <c r="B19" s="28" t="s">
        <v>146</v>
      </c>
      <c r="C19" s="30" t="s">
        <v>147</v>
      </c>
      <c r="D19" s="30" t="s">
        <v>115</v>
      </c>
    </row>
    <row r="20" spans="2:6" hidden="1">
      <c r="B20" s="111" t="s">
        <v>148</v>
      </c>
      <c r="C20" s="112" t="s">
        <v>149</v>
      </c>
      <c r="D20" s="113">
        <v>0</v>
      </c>
      <c r="F20" s="1" t="s">
        <v>83</v>
      </c>
    </row>
    <row r="21" spans="2:6" hidden="1">
      <c r="B21" s="29" t="s">
        <v>150</v>
      </c>
      <c r="C21" s="27" t="s">
        <v>151</v>
      </c>
      <c r="D21" s="31">
        <v>25</v>
      </c>
      <c r="F21" s="1" t="s">
        <v>83</v>
      </c>
    </row>
    <row r="22" spans="2:6" hidden="1">
      <c r="B22" s="29" t="s">
        <v>152</v>
      </c>
      <c r="C22" s="27" t="s">
        <v>151</v>
      </c>
      <c r="D22" s="31">
        <v>2</v>
      </c>
      <c r="F22" s="1" t="s">
        <v>83</v>
      </c>
    </row>
    <row r="23" spans="2:6" hidden="1">
      <c r="B23" s="29" t="s">
        <v>153</v>
      </c>
      <c r="C23" s="27" t="s">
        <v>154</v>
      </c>
      <c r="D23" s="114">
        <v>0.02</v>
      </c>
      <c r="F23" s="1" t="s">
        <v>83</v>
      </c>
    </row>
    <row r="24" spans="2:6">
      <c r="F24" s="1"/>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0AA35-8CC1-441C-9432-8F7C0EF0730D}">
  <sheetPr>
    <tabColor theme="8"/>
  </sheetPr>
  <dimension ref="A1:AB176"/>
  <sheetViews>
    <sheetView showGridLines="0" topLeftCell="A68" zoomScale="70" zoomScaleNormal="70" workbookViewId="0">
      <selection activeCell="E75" sqref="E75"/>
    </sheetView>
  </sheetViews>
  <sheetFormatPr defaultColWidth="8.125" defaultRowHeight="14.25"/>
  <cols>
    <col min="1" max="1" width="3.125" customWidth="1"/>
    <col min="2" max="2" width="13" customWidth="1"/>
    <col min="3" max="3" width="16.625" customWidth="1"/>
    <col min="4" max="4" width="17.125" style="67" customWidth="1"/>
    <col min="5" max="5" width="15.125" customWidth="1"/>
    <col min="6" max="6" width="17.375" style="15" customWidth="1"/>
    <col min="7" max="7" width="33.625" style="68" customWidth="1"/>
    <col min="8" max="8" width="9.375" customWidth="1"/>
    <col min="9" max="9" width="12.625" bestFit="1" customWidth="1"/>
    <col min="10" max="14" width="7.125" customWidth="1"/>
    <col min="15" max="16" width="11.625" customWidth="1"/>
    <col min="17" max="17" width="12.625" customWidth="1"/>
    <col min="18" max="19" width="11.625" customWidth="1"/>
    <col min="20" max="20" width="13.5" style="69" customWidth="1"/>
    <col min="22" max="22" width="10.625" bestFit="1" customWidth="1"/>
    <col min="27" max="27" width="38.375" customWidth="1"/>
    <col min="28" max="28" width="19.5" customWidth="1"/>
  </cols>
  <sheetData>
    <row r="1" spans="1:28" ht="45" customHeight="1">
      <c r="A1" s="1"/>
      <c r="D1"/>
      <c r="F1"/>
      <c r="G1"/>
      <c r="T1"/>
    </row>
    <row r="2" spans="1:28" ht="18">
      <c r="B2" s="3" t="s">
        <v>155</v>
      </c>
      <c r="D2"/>
      <c r="F2"/>
      <c r="G2"/>
      <c r="T2"/>
    </row>
    <row r="3" spans="1:28">
      <c r="B3" t="s">
        <v>156</v>
      </c>
      <c r="C3" s="130">
        <v>44631</v>
      </c>
      <c r="D3"/>
      <c r="F3"/>
      <c r="G3"/>
      <c r="T3"/>
    </row>
    <row r="4" spans="1:28" ht="18">
      <c r="B4" s="123"/>
      <c r="C4" s="124"/>
      <c r="D4" s="124"/>
      <c r="E4" s="124"/>
      <c r="F4" s="124"/>
      <c r="G4" s="124"/>
      <c r="H4" s="124"/>
      <c r="I4" s="124"/>
      <c r="J4" s="124"/>
      <c r="K4" s="124"/>
      <c r="L4" s="124"/>
      <c r="M4" s="124"/>
      <c r="N4" s="124"/>
      <c r="O4" s="124"/>
      <c r="P4" s="124"/>
      <c r="T4"/>
    </row>
    <row r="5" spans="1:28">
      <c r="Z5" s="15"/>
      <c r="AA5" s="15"/>
      <c r="AB5" s="69"/>
    </row>
    <row r="6" spans="1:28" ht="28.5">
      <c r="C6" s="43" t="s">
        <v>157</v>
      </c>
      <c r="D6" s="43" t="s">
        <v>158</v>
      </c>
      <c r="E6" s="43" t="s">
        <v>159</v>
      </c>
      <c r="Z6" s="15"/>
      <c r="AA6" s="15"/>
      <c r="AB6" s="69"/>
    </row>
    <row r="7" spans="1:28">
      <c r="C7" s="27" t="s">
        <v>160</v>
      </c>
      <c r="D7" s="27" t="s">
        <v>161</v>
      </c>
      <c r="E7" s="129">
        <f t="shared" ref="E7:E14" si="0">SUMIF($F$20:$F$153, D7, $T$20:$T$153)</f>
        <v>902000</v>
      </c>
      <c r="Z7" s="15"/>
      <c r="AA7" s="15"/>
      <c r="AB7" s="69"/>
    </row>
    <row r="8" spans="1:28">
      <c r="C8" s="27" t="s">
        <v>162</v>
      </c>
      <c r="D8" s="46" t="s">
        <v>163</v>
      </c>
      <c r="E8" s="219">
        <f t="shared" si="0"/>
        <v>1779500</v>
      </c>
      <c r="Z8" s="15"/>
      <c r="AA8" s="15"/>
      <c r="AB8" s="69"/>
    </row>
    <row r="9" spans="1:28" ht="28.5">
      <c r="C9" s="46" t="s">
        <v>164</v>
      </c>
      <c r="D9" s="46" t="s">
        <v>165</v>
      </c>
      <c r="E9" s="219">
        <f t="shared" si="0"/>
        <v>1315750</v>
      </c>
      <c r="Z9" s="15"/>
      <c r="AA9" s="15"/>
      <c r="AB9" s="69"/>
    </row>
    <row r="10" spans="1:28">
      <c r="D10" s="46" t="s">
        <v>166</v>
      </c>
      <c r="E10" s="219">
        <f t="shared" si="0"/>
        <v>2782447.5</v>
      </c>
      <c r="Z10" s="15"/>
      <c r="AA10" s="15"/>
      <c r="AB10" s="69"/>
    </row>
    <row r="11" spans="1:28">
      <c r="D11" s="46" t="s">
        <v>167</v>
      </c>
      <c r="E11" s="219">
        <f t="shared" si="0"/>
        <v>10350756.303338801</v>
      </c>
    </row>
    <row r="12" spans="1:28" ht="42.75">
      <c r="D12" s="46" t="s">
        <v>168</v>
      </c>
      <c r="E12" s="219">
        <f t="shared" si="0"/>
        <v>168950</v>
      </c>
    </row>
    <row r="13" spans="1:28">
      <c r="D13" s="46" t="s">
        <v>169</v>
      </c>
      <c r="E13" s="219">
        <f t="shared" si="0"/>
        <v>315600</v>
      </c>
    </row>
    <row r="14" spans="1:28" ht="42.75">
      <c r="D14" s="46" t="s">
        <v>170</v>
      </c>
      <c r="E14" s="219">
        <f t="shared" si="0"/>
        <v>950673.91628907819</v>
      </c>
    </row>
    <row r="15" spans="1:28" ht="15">
      <c r="E15" s="128">
        <f>SUM(E7:E14)</f>
        <v>18565677.719627883</v>
      </c>
    </row>
    <row r="16" spans="1:28">
      <c r="B16" s="1"/>
      <c r="I16" s="209"/>
    </row>
    <row r="17" spans="2:28" ht="18">
      <c r="B17" s="3" t="s">
        <v>171</v>
      </c>
      <c r="D17" s="85"/>
      <c r="H17" s="86"/>
      <c r="AB17" s="87"/>
    </row>
    <row r="18" spans="2:28" ht="18">
      <c r="B18" s="3"/>
      <c r="H18" s="86"/>
    </row>
    <row r="19" spans="2:28" ht="49.5" customHeight="1">
      <c r="B19" s="43" t="s">
        <v>172</v>
      </c>
      <c r="C19" s="43" t="s">
        <v>173</v>
      </c>
      <c r="D19" s="43" t="s">
        <v>174</v>
      </c>
      <c r="E19" s="43" t="s">
        <v>157</v>
      </c>
      <c r="F19" s="43" t="s">
        <v>158</v>
      </c>
      <c r="G19" s="44" t="s">
        <v>175</v>
      </c>
      <c r="H19" s="43" t="s">
        <v>176</v>
      </c>
      <c r="I19" s="43" t="s">
        <v>177</v>
      </c>
      <c r="J19" s="43" t="s">
        <v>178</v>
      </c>
      <c r="K19" s="43" t="s">
        <v>179</v>
      </c>
      <c r="L19" s="43" t="s">
        <v>180</v>
      </c>
      <c r="M19" s="43" t="s">
        <v>181</v>
      </c>
      <c r="N19" s="43" t="s">
        <v>182</v>
      </c>
      <c r="O19" s="43" t="s">
        <v>183</v>
      </c>
      <c r="P19" s="43" t="s">
        <v>184</v>
      </c>
      <c r="Q19" s="43" t="s">
        <v>185</v>
      </c>
      <c r="R19" s="43" t="s">
        <v>186</v>
      </c>
      <c r="S19" s="43" t="s">
        <v>187</v>
      </c>
      <c r="T19" s="45" t="s">
        <v>188</v>
      </c>
      <c r="V19" s="247" t="s">
        <v>189</v>
      </c>
    </row>
    <row r="20" spans="2:28" ht="36" customHeight="1">
      <c r="B20" s="275" t="s">
        <v>190</v>
      </c>
      <c r="C20" s="275" t="s">
        <v>191</v>
      </c>
      <c r="D20" s="275" t="s">
        <v>192</v>
      </c>
      <c r="E20" s="242" t="s">
        <v>160</v>
      </c>
      <c r="F20" s="46" t="s">
        <v>163</v>
      </c>
      <c r="G20" s="47" t="s">
        <v>193</v>
      </c>
      <c r="H20" s="48" t="s">
        <v>194</v>
      </c>
      <c r="I20" s="49">
        <v>150</v>
      </c>
      <c r="J20" s="46">
        <v>120</v>
      </c>
      <c r="K20" s="46">
        <v>250</v>
      </c>
      <c r="L20" s="46">
        <v>250</v>
      </c>
      <c r="M20" s="46">
        <v>250</v>
      </c>
      <c r="N20" s="46">
        <v>120</v>
      </c>
      <c r="O20" s="49">
        <f>$I20*J20</f>
        <v>18000</v>
      </c>
      <c r="P20" s="49">
        <f>$I20*K20</f>
        <v>37500</v>
      </c>
      <c r="Q20" s="49">
        <f t="shared" ref="Q20:S35" si="1">$I20*L20</f>
        <v>37500</v>
      </c>
      <c r="R20" s="49">
        <f t="shared" si="1"/>
        <v>37500</v>
      </c>
      <c r="S20" s="49">
        <f t="shared" si="1"/>
        <v>18000</v>
      </c>
      <c r="T20" s="50">
        <f>SUM(O20:S20)</f>
        <v>148500</v>
      </c>
      <c r="V20" t="s">
        <v>195</v>
      </c>
    </row>
    <row r="21" spans="2:28" ht="36" customHeight="1">
      <c r="B21" s="275"/>
      <c r="C21" s="275"/>
      <c r="D21" s="275"/>
      <c r="E21" s="242" t="s">
        <v>160</v>
      </c>
      <c r="F21" s="46" t="s">
        <v>169</v>
      </c>
      <c r="G21" s="47" t="s">
        <v>196</v>
      </c>
      <c r="H21" s="48" t="s">
        <v>197</v>
      </c>
      <c r="I21" s="49">
        <v>100</v>
      </c>
      <c r="J21" s="46">
        <v>60</v>
      </c>
      <c r="K21" s="46">
        <v>125</v>
      </c>
      <c r="L21" s="46">
        <v>125</v>
      </c>
      <c r="M21" s="46">
        <v>125</v>
      </c>
      <c r="N21" s="46">
        <v>60</v>
      </c>
      <c r="O21" s="49">
        <f t="shared" ref="O21:P21" si="2">$I21*J21</f>
        <v>6000</v>
      </c>
      <c r="P21" s="49">
        <f t="shared" si="2"/>
        <v>12500</v>
      </c>
      <c r="Q21" s="49">
        <f t="shared" ref="Q21" si="3">$I21*L21</f>
        <v>12500</v>
      </c>
      <c r="R21" s="49">
        <f t="shared" ref="R21" si="4">$I21*M21</f>
        <v>12500</v>
      </c>
      <c r="S21" s="49">
        <f t="shared" ref="S21" si="5">$I21*N21</f>
        <v>6000</v>
      </c>
      <c r="T21" s="50">
        <f t="shared" ref="T21" si="6">SUM(O21:S21)</f>
        <v>49500</v>
      </c>
      <c r="V21" t="s">
        <v>195</v>
      </c>
    </row>
    <row r="22" spans="2:28" ht="36" customHeight="1">
      <c r="B22" s="275"/>
      <c r="C22" s="275"/>
      <c r="D22" s="275"/>
      <c r="E22" s="242" t="s">
        <v>160</v>
      </c>
      <c r="F22" s="46" t="s">
        <v>165</v>
      </c>
      <c r="G22" s="47" t="s">
        <v>198</v>
      </c>
      <c r="H22" s="48" t="s">
        <v>194</v>
      </c>
      <c r="I22" s="49">
        <v>950</v>
      </c>
      <c r="J22" s="46">
        <v>40</v>
      </c>
      <c r="K22" s="46">
        <v>40</v>
      </c>
      <c r="L22" s="46">
        <v>20</v>
      </c>
      <c r="M22" s="46">
        <v>20</v>
      </c>
      <c r="N22" s="46">
        <v>20</v>
      </c>
      <c r="O22" s="49">
        <f t="shared" ref="O22:S87" si="7">$I22*J22</f>
        <v>38000</v>
      </c>
      <c r="P22" s="49">
        <f t="shared" si="7"/>
        <v>38000</v>
      </c>
      <c r="Q22" s="49">
        <f t="shared" si="1"/>
        <v>19000</v>
      </c>
      <c r="R22" s="49">
        <f t="shared" si="1"/>
        <v>19000</v>
      </c>
      <c r="S22" s="49">
        <f t="shared" si="1"/>
        <v>19000</v>
      </c>
      <c r="T22" s="50">
        <f t="shared" ref="T22:T105" si="8">SUM(O22:S22)</f>
        <v>133000</v>
      </c>
      <c r="V22" t="s">
        <v>195</v>
      </c>
    </row>
    <row r="23" spans="2:28" ht="36" customHeight="1">
      <c r="B23" s="275"/>
      <c r="C23" s="275"/>
      <c r="D23" s="275"/>
      <c r="E23" s="242" t="s">
        <v>160</v>
      </c>
      <c r="F23" s="46" t="s">
        <v>169</v>
      </c>
      <c r="G23" s="47" t="s">
        <v>199</v>
      </c>
      <c r="H23" s="48" t="s">
        <v>200</v>
      </c>
      <c r="I23" s="49">
        <v>1700</v>
      </c>
      <c r="J23" s="46">
        <v>2</v>
      </c>
      <c r="K23" s="46">
        <v>2</v>
      </c>
      <c r="L23" s="46">
        <v>1</v>
      </c>
      <c r="M23" s="46">
        <v>1</v>
      </c>
      <c r="N23" s="46">
        <v>1</v>
      </c>
      <c r="O23" s="49">
        <f t="shared" si="7"/>
        <v>3400</v>
      </c>
      <c r="P23" s="49">
        <f t="shared" si="7"/>
        <v>3400</v>
      </c>
      <c r="Q23" s="49">
        <f t="shared" si="1"/>
        <v>1700</v>
      </c>
      <c r="R23" s="49">
        <f t="shared" si="1"/>
        <v>1700</v>
      </c>
      <c r="S23" s="49">
        <f t="shared" si="1"/>
        <v>1700</v>
      </c>
      <c r="T23" s="50">
        <f t="shared" si="8"/>
        <v>11900</v>
      </c>
      <c r="V23" t="s">
        <v>195</v>
      </c>
    </row>
    <row r="24" spans="2:28" ht="36" customHeight="1">
      <c r="B24" s="275"/>
      <c r="C24" s="275"/>
      <c r="D24" s="275"/>
      <c r="E24" s="242" t="s">
        <v>160</v>
      </c>
      <c r="F24" s="46" t="s">
        <v>169</v>
      </c>
      <c r="G24" s="47" t="s">
        <v>201</v>
      </c>
      <c r="H24" s="48" t="s">
        <v>202</v>
      </c>
      <c r="I24" s="49">
        <v>200</v>
      </c>
      <c r="J24" s="46">
        <f>J23*7</f>
        <v>14</v>
      </c>
      <c r="K24" s="46">
        <f t="shared" ref="K24:N24" si="9">K23*7</f>
        <v>14</v>
      </c>
      <c r="L24" s="46">
        <f t="shared" si="9"/>
        <v>7</v>
      </c>
      <c r="M24" s="46">
        <f t="shared" si="9"/>
        <v>7</v>
      </c>
      <c r="N24" s="46">
        <f t="shared" si="9"/>
        <v>7</v>
      </c>
      <c r="O24" s="49">
        <f t="shared" si="7"/>
        <v>2800</v>
      </c>
      <c r="P24" s="49">
        <f t="shared" si="7"/>
        <v>2800</v>
      </c>
      <c r="Q24" s="49">
        <f t="shared" si="1"/>
        <v>1400</v>
      </c>
      <c r="R24" s="49">
        <f t="shared" si="1"/>
        <v>1400</v>
      </c>
      <c r="S24" s="49">
        <f t="shared" si="1"/>
        <v>1400</v>
      </c>
      <c r="T24" s="50">
        <f t="shared" si="8"/>
        <v>9800</v>
      </c>
      <c r="V24" t="s">
        <v>203</v>
      </c>
    </row>
    <row r="25" spans="2:28" ht="71.25">
      <c r="B25" s="275"/>
      <c r="C25" s="275"/>
      <c r="D25" s="275"/>
      <c r="E25" s="242" t="s">
        <v>160</v>
      </c>
      <c r="F25" s="46" t="s">
        <v>170</v>
      </c>
      <c r="G25" s="47" t="s">
        <v>204</v>
      </c>
      <c r="H25" s="51" t="s">
        <v>205</v>
      </c>
      <c r="I25" s="49">
        <f>0.06*SUM(T26:T35)</f>
        <v>262958.07303532801</v>
      </c>
      <c r="J25" s="46">
        <v>0.2</v>
      </c>
      <c r="K25" s="46">
        <v>0.55000000000000004</v>
      </c>
      <c r="L25" s="46">
        <v>0.2</v>
      </c>
      <c r="M25" s="46">
        <v>0.05</v>
      </c>
      <c r="N25" s="46"/>
      <c r="O25" s="49">
        <f t="shared" si="7"/>
        <v>52591.614607065603</v>
      </c>
      <c r="P25" s="49">
        <f t="shared" si="7"/>
        <v>144626.94016943043</v>
      </c>
      <c r="Q25" s="49">
        <f t="shared" si="1"/>
        <v>52591.614607065603</v>
      </c>
      <c r="R25" s="49">
        <f t="shared" si="1"/>
        <v>13147.903651766401</v>
      </c>
      <c r="S25" s="49">
        <f t="shared" si="1"/>
        <v>0</v>
      </c>
      <c r="T25" s="50">
        <f t="shared" ref="T25:T36" si="10">SUM(O25:S25)</f>
        <v>262958.07303532801</v>
      </c>
      <c r="V25" t="s">
        <v>195</v>
      </c>
    </row>
    <row r="26" spans="2:28" ht="57">
      <c r="B26" s="275"/>
      <c r="C26" s="275"/>
      <c r="D26" s="275"/>
      <c r="E26" s="242" t="s">
        <v>160</v>
      </c>
      <c r="F26" s="46" t="s">
        <v>167</v>
      </c>
      <c r="G26" s="47" t="s">
        <v>206</v>
      </c>
      <c r="H26" s="48" t="s">
        <v>207</v>
      </c>
      <c r="I26" s="54">
        <v>54.45000000000001</v>
      </c>
      <c r="J26" s="52"/>
      <c r="K26" s="27"/>
      <c r="L26" s="53">
        <v>54367.8</v>
      </c>
      <c r="M26" s="46"/>
      <c r="N26" s="46"/>
      <c r="O26" s="49">
        <f t="shared" si="7"/>
        <v>0</v>
      </c>
      <c r="P26" s="49">
        <f t="shared" si="7"/>
        <v>0</v>
      </c>
      <c r="Q26" s="49">
        <f t="shared" si="1"/>
        <v>2960326.7100000009</v>
      </c>
      <c r="R26" s="49">
        <f t="shared" si="1"/>
        <v>0</v>
      </c>
      <c r="S26" s="49">
        <f t="shared" si="1"/>
        <v>0</v>
      </c>
      <c r="T26" s="50">
        <f t="shared" si="10"/>
        <v>2960326.7100000009</v>
      </c>
      <c r="V26" s="88" t="s">
        <v>195</v>
      </c>
    </row>
    <row r="27" spans="2:28" ht="57">
      <c r="B27" s="275"/>
      <c r="C27" s="275"/>
      <c r="D27" s="275"/>
      <c r="E27" s="242" t="s">
        <v>160</v>
      </c>
      <c r="F27" s="46" t="s">
        <v>167</v>
      </c>
      <c r="G27" s="47" t="s">
        <v>208</v>
      </c>
      <c r="H27" s="48" t="s">
        <v>207</v>
      </c>
      <c r="I27" s="54">
        <v>54.45000000000001</v>
      </c>
      <c r="J27" s="52"/>
      <c r="K27" s="27"/>
      <c r="L27" s="53">
        <v>6330.4</v>
      </c>
      <c r="M27" s="46"/>
      <c r="N27" s="46"/>
      <c r="O27" s="49">
        <f t="shared" si="7"/>
        <v>0</v>
      </c>
      <c r="P27" s="49">
        <f t="shared" si="7"/>
        <v>0</v>
      </c>
      <c r="Q27" s="49">
        <f t="shared" si="1"/>
        <v>344690.28</v>
      </c>
      <c r="R27" s="49">
        <f t="shared" si="1"/>
        <v>0</v>
      </c>
      <c r="S27" s="49">
        <f t="shared" si="1"/>
        <v>0</v>
      </c>
      <c r="T27" s="50">
        <f t="shared" si="10"/>
        <v>344690.28</v>
      </c>
      <c r="V27" s="88" t="s">
        <v>195</v>
      </c>
    </row>
    <row r="28" spans="2:28" ht="57">
      <c r="B28" s="275"/>
      <c r="C28" s="275"/>
      <c r="D28" s="275"/>
      <c r="E28" s="242" t="s">
        <v>160</v>
      </c>
      <c r="F28" s="46" t="s">
        <v>167</v>
      </c>
      <c r="G28" s="47" t="s">
        <v>209</v>
      </c>
      <c r="H28" s="48" t="s">
        <v>207</v>
      </c>
      <c r="I28" s="54">
        <v>9.6800000000000015</v>
      </c>
      <c r="J28" s="52"/>
      <c r="K28" s="27"/>
      <c r="L28" s="53">
        <v>7524</v>
      </c>
      <c r="M28" s="46"/>
      <c r="N28" s="46"/>
      <c r="O28" s="49">
        <f t="shared" si="7"/>
        <v>0</v>
      </c>
      <c r="P28" s="49">
        <f t="shared" si="7"/>
        <v>0</v>
      </c>
      <c r="Q28" s="49">
        <f t="shared" si="1"/>
        <v>72832.320000000007</v>
      </c>
      <c r="R28" s="49">
        <f t="shared" si="1"/>
        <v>0</v>
      </c>
      <c r="S28" s="49">
        <f t="shared" si="1"/>
        <v>0</v>
      </c>
      <c r="T28" s="50">
        <f t="shared" si="10"/>
        <v>72832.320000000007</v>
      </c>
      <c r="V28" s="88" t="s">
        <v>195</v>
      </c>
    </row>
    <row r="29" spans="2:28" ht="71.25">
      <c r="B29" s="275"/>
      <c r="C29" s="275"/>
      <c r="D29" s="275"/>
      <c r="E29" s="242" t="s">
        <v>160</v>
      </c>
      <c r="F29" s="46" t="s">
        <v>167</v>
      </c>
      <c r="G29" s="47" t="s">
        <v>210</v>
      </c>
      <c r="H29" s="48" t="s">
        <v>207</v>
      </c>
      <c r="I29" s="54">
        <v>3.0250000000000004</v>
      </c>
      <c r="J29" s="52"/>
      <c r="K29" s="27"/>
      <c r="L29" s="53">
        <v>2646</v>
      </c>
      <c r="M29" s="46"/>
      <c r="N29" s="46"/>
      <c r="O29" s="49">
        <f t="shared" si="7"/>
        <v>0</v>
      </c>
      <c r="P29" s="49">
        <f t="shared" si="7"/>
        <v>0</v>
      </c>
      <c r="Q29" s="49">
        <f t="shared" si="1"/>
        <v>8004.1500000000005</v>
      </c>
      <c r="R29" s="49">
        <f t="shared" si="1"/>
        <v>0</v>
      </c>
      <c r="S29" s="49">
        <f t="shared" si="1"/>
        <v>0</v>
      </c>
      <c r="T29" s="50">
        <f t="shared" si="10"/>
        <v>8004.1500000000005</v>
      </c>
      <c r="V29" s="88" t="s">
        <v>195</v>
      </c>
    </row>
    <row r="30" spans="2:28" ht="57">
      <c r="B30" s="275"/>
      <c r="C30" s="275"/>
      <c r="D30" s="275"/>
      <c r="E30" s="242" t="s">
        <v>160</v>
      </c>
      <c r="F30" s="46" t="s">
        <v>167</v>
      </c>
      <c r="G30" s="47" t="s">
        <v>211</v>
      </c>
      <c r="H30" s="48" t="s">
        <v>207</v>
      </c>
      <c r="I30" s="54">
        <v>48.835600000000007</v>
      </c>
      <c r="J30" s="52"/>
      <c r="K30" s="27"/>
      <c r="L30" s="53">
        <v>529.20000000000005</v>
      </c>
      <c r="M30" s="46"/>
      <c r="N30" s="46"/>
      <c r="O30" s="49">
        <f t="shared" ref="O30:P30" si="11">$I30*J30</f>
        <v>0</v>
      </c>
      <c r="P30" s="49">
        <f t="shared" si="11"/>
        <v>0</v>
      </c>
      <c r="Q30" s="49">
        <f t="shared" ref="Q30" si="12">$I30*L30</f>
        <v>25843.799520000004</v>
      </c>
      <c r="R30" s="49">
        <f t="shared" ref="R30" si="13">$I30*M30</f>
        <v>0</v>
      </c>
      <c r="S30" s="49">
        <f t="shared" ref="S30" si="14">$I30*N30</f>
        <v>0</v>
      </c>
      <c r="T30" s="50">
        <f t="shared" ref="T30" si="15">SUM(O30:S30)</f>
        <v>25843.799520000004</v>
      </c>
      <c r="V30" s="88" t="s">
        <v>195</v>
      </c>
    </row>
    <row r="31" spans="2:28" ht="57">
      <c r="B31" s="275"/>
      <c r="C31" s="275"/>
      <c r="D31" s="275"/>
      <c r="E31" s="242" t="s">
        <v>160</v>
      </c>
      <c r="F31" s="46" t="s">
        <v>167</v>
      </c>
      <c r="G31" s="47" t="s">
        <v>212</v>
      </c>
      <c r="H31" s="48" t="s">
        <v>207</v>
      </c>
      <c r="I31" s="54">
        <v>58.080000000000013</v>
      </c>
      <c r="J31" s="52"/>
      <c r="K31" s="27"/>
      <c r="L31" s="53">
        <v>1017</v>
      </c>
      <c r="M31" s="46"/>
      <c r="N31" s="46"/>
      <c r="O31" s="49">
        <f t="shared" si="7"/>
        <v>0</v>
      </c>
      <c r="P31" s="49">
        <f t="shared" si="7"/>
        <v>0</v>
      </c>
      <c r="Q31" s="49">
        <f t="shared" si="1"/>
        <v>59067.360000000015</v>
      </c>
      <c r="R31" s="49">
        <f t="shared" si="1"/>
        <v>0</v>
      </c>
      <c r="S31" s="49">
        <f t="shared" si="1"/>
        <v>0</v>
      </c>
      <c r="T31" s="50">
        <f t="shared" si="10"/>
        <v>59067.360000000015</v>
      </c>
      <c r="V31" s="88" t="s">
        <v>195</v>
      </c>
    </row>
    <row r="32" spans="2:28" ht="57">
      <c r="B32" s="275"/>
      <c r="C32" s="275"/>
      <c r="D32" s="275"/>
      <c r="E32" s="242" t="s">
        <v>160</v>
      </c>
      <c r="F32" s="46" t="s">
        <v>167</v>
      </c>
      <c r="G32" s="47" t="s">
        <v>213</v>
      </c>
      <c r="H32" s="48" t="s">
        <v>207</v>
      </c>
      <c r="I32" s="54">
        <v>70.180000000000007</v>
      </c>
      <c r="J32" s="52"/>
      <c r="K32" s="27"/>
      <c r="L32" s="53">
        <v>325.34400000000005</v>
      </c>
      <c r="M32" s="46"/>
      <c r="N32" s="46"/>
      <c r="O32" s="49">
        <f t="shared" si="7"/>
        <v>0</v>
      </c>
      <c r="P32" s="49">
        <f t="shared" si="7"/>
        <v>0</v>
      </c>
      <c r="Q32" s="49">
        <f t="shared" si="1"/>
        <v>22832.641920000005</v>
      </c>
      <c r="R32" s="49">
        <f t="shared" si="1"/>
        <v>0</v>
      </c>
      <c r="S32" s="49">
        <f t="shared" si="1"/>
        <v>0</v>
      </c>
      <c r="T32" s="50">
        <f t="shared" si="10"/>
        <v>22832.641920000005</v>
      </c>
      <c r="V32" s="88" t="s">
        <v>195</v>
      </c>
    </row>
    <row r="33" spans="2:22" ht="71.25">
      <c r="B33" s="275"/>
      <c r="C33" s="275"/>
      <c r="D33" s="275"/>
      <c r="E33" s="242" t="s">
        <v>160</v>
      </c>
      <c r="F33" s="46" t="s">
        <v>167</v>
      </c>
      <c r="G33" s="47" t="s">
        <v>214</v>
      </c>
      <c r="H33" s="48" t="s">
        <v>207</v>
      </c>
      <c r="I33" s="54">
        <v>6.3525000000000009</v>
      </c>
      <c r="J33" s="46"/>
      <c r="K33" s="27"/>
      <c r="L33" s="53">
        <v>61606.400000000001</v>
      </c>
      <c r="M33" s="46"/>
      <c r="N33" s="46"/>
      <c r="O33" s="49">
        <f t="shared" si="7"/>
        <v>0</v>
      </c>
      <c r="P33" s="49">
        <f t="shared" si="7"/>
        <v>0</v>
      </c>
      <c r="Q33" s="49">
        <f t="shared" si="1"/>
        <v>391354.65600000008</v>
      </c>
      <c r="R33" s="49">
        <f t="shared" si="1"/>
        <v>0</v>
      </c>
      <c r="S33" s="49">
        <f t="shared" si="1"/>
        <v>0</v>
      </c>
      <c r="T33" s="50">
        <f t="shared" si="10"/>
        <v>391354.65600000008</v>
      </c>
      <c r="V33" s="88" t="s">
        <v>195</v>
      </c>
    </row>
    <row r="34" spans="2:22" ht="57">
      <c r="B34" s="275"/>
      <c r="C34" s="275"/>
      <c r="D34" s="275"/>
      <c r="E34" s="242" t="s">
        <v>160</v>
      </c>
      <c r="F34" s="46" t="s">
        <v>167</v>
      </c>
      <c r="G34" s="47" t="s">
        <v>215</v>
      </c>
      <c r="H34" s="48" t="s">
        <v>207</v>
      </c>
      <c r="I34" s="54">
        <v>14.520000000000003</v>
      </c>
      <c r="J34" s="46"/>
      <c r="K34" s="27"/>
      <c r="L34" s="53">
        <v>8324</v>
      </c>
      <c r="M34" s="46"/>
      <c r="N34" s="46"/>
      <c r="O34" s="49">
        <f t="shared" si="7"/>
        <v>0</v>
      </c>
      <c r="P34" s="49">
        <f t="shared" si="7"/>
        <v>0</v>
      </c>
      <c r="Q34" s="49">
        <f t="shared" si="1"/>
        <v>120864.48000000003</v>
      </c>
      <c r="R34" s="49">
        <f t="shared" si="1"/>
        <v>0</v>
      </c>
      <c r="S34" s="49">
        <f t="shared" si="1"/>
        <v>0</v>
      </c>
      <c r="T34" s="50">
        <f t="shared" si="10"/>
        <v>120864.48000000003</v>
      </c>
      <c r="V34" s="88" t="s">
        <v>195</v>
      </c>
    </row>
    <row r="35" spans="2:22" ht="42.75">
      <c r="B35" s="275"/>
      <c r="C35" s="275"/>
      <c r="D35" s="275"/>
      <c r="E35" s="242" t="s">
        <v>160</v>
      </c>
      <c r="F35" s="46" t="s">
        <v>167</v>
      </c>
      <c r="G35" s="47" t="s">
        <v>216</v>
      </c>
      <c r="H35" s="48" t="s">
        <v>217</v>
      </c>
      <c r="I35" s="89">
        <v>27.225000000000005</v>
      </c>
      <c r="J35" s="46"/>
      <c r="K35" s="27"/>
      <c r="L35" s="53">
        <v>13840.887168000001</v>
      </c>
      <c r="M35" s="46"/>
      <c r="N35" s="46"/>
      <c r="O35" s="49">
        <f t="shared" si="7"/>
        <v>0</v>
      </c>
      <c r="P35" s="49">
        <f t="shared" si="7"/>
        <v>0</v>
      </c>
      <c r="Q35" s="49">
        <f t="shared" si="1"/>
        <v>376818.15314880008</v>
      </c>
      <c r="R35" s="49">
        <f t="shared" si="1"/>
        <v>0</v>
      </c>
      <c r="S35" s="49">
        <f t="shared" si="1"/>
        <v>0</v>
      </c>
      <c r="T35" s="50">
        <f t="shared" si="10"/>
        <v>376818.15314880008</v>
      </c>
      <c r="V35" s="88" t="s">
        <v>195</v>
      </c>
    </row>
    <row r="36" spans="2:22" ht="42.75">
      <c r="B36" s="275"/>
      <c r="C36" s="275"/>
      <c r="D36" s="275" t="s">
        <v>218</v>
      </c>
      <c r="E36" s="242" t="s">
        <v>160</v>
      </c>
      <c r="F36" s="46" t="s">
        <v>163</v>
      </c>
      <c r="G36" s="47" t="s">
        <v>219</v>
      </c>
      <c r="H36" s="48" t="s">
        <v>194</v>
      </c>
      <c r="I36" s="49">
        <v>150</v>
      </c>
      <c r="J36" s="46">
        <v>120</v>
      </c>
      <c r="K36" s="46">
        <v>250</v>
      </c>
      <c r="L36" s="46">
        <v>250</v>
      </c>
      <c r="M36" s="46">
        <v>120</v>
      </c>
      <c r="N36" s="46">
        <v>120</v>
      </c>
      <c r="O36" s="49">
        <f t="shared" si="7"/>
        <v>18000</v>
      </c>
      <c r="P36" s="49">
        <f t="shared" si="7"/>
        <v>37500</v>
      </c>
      <c r="Q36" s="49">
        <f t="shared" si="7"/>
        <v>37500</v>
      </c>
      <c r="R36" s="49">
        <f t="shared" si="7"/>
        <v>18000</v>
      </c>
      <c r="S36" s="49">
        <f t="shared" si="7"/>
        <v>18000</v>
      </c>
      <c r="T36" s="50">
        <f t="shared" si="10"/>
        <v>129000</v>
      </c>
      <c r="V36" s="88" t="s">
        <v>195</v>
      </c>
    </row>
    <row r="37" spans="2:22" ht="28.5">
      <c r="B37" s="275"/>
      <c r="C37" s="275"/>
      <c r="D37" s="275"/>
      <c r="E37" s="242" t="s">
        <v>160</v>
      </c>
      <c r="F37" s="46" t="s">
        <v>169</v>
      </c>
      <c r="G37" s="47" t="s">
        <v>196</v>
      </c>
      <c r="H37" s="48" t="s">
        <v>197</v>
      </c>
      <c r="I37" s="49">
        <v>100</v>
      </c>
      <c r="J37" s="46">
        <v>60</v>
      </c>
      <c r="K37" s="46">
        <v>125</v>
      </c>
      <c r="L37" s="46">
        <v>125</v>
      </c>
      <c r="M37" s="46">
        <v>60</v>
      </c>
      <c r="N37" s="46">
        <v>60</v>
      </c>
      <c r="O37" s="49">
        <f t="shared" ref="O37:S37" si="16">$I37*J37</f>
        <v>6000</v>
      </c>
      <c r="P37" s="49">
        <f t="shared" si="16"/>
        <v>12500</v>
      </c>
      <c r="Q37" s="49">
        <f t="shared" si="16"/>
        <v>12500</v>
      </c>
      <c r="R37" s="49">
        <f t="shared" si="16"/>
        <v>6000</v>
      </c>
      <c r="S37" s="49">
        <f t="shared" si="16"/>
        <v>6000</v>
      </c>
      <c r="T37" s="50">
        <f t="shared" ref="T37" si="17">SUM(O37:S37)</f>
        <v>43000</v>
      </c>
      <c r="V37" s="88" t="s">
        <v>195</v>
      </c>
    </row>
    <row r="38" spans="2:22" ht="45" customHeight="1">
      <c r="B38" s="275"/>
      <c r="C38" s="275"/>
      <c r="D38" s="275"/>
      <c r="E38" s="242" t="s">
        <v>160</v>
      </c>
      <c r="F38" s="46" t="s">
        <v>165</v>
      </c>
      <c r="G38" s="47" t="s">
        <v>220</v>
      </c>
      <c r="H38" s="48" t="s">
        <v>194</v>
      </c>
      <c r="I38" s="49">
        <v>950</v>
      </c>
      <c r="J38" s="46">
        <v>40</v>
      </c>
      <c r="K38" s="46">
        <v>40</v>
      </c>
      <c r="L38" s="46">
        <v>20</v>
      </c>
      <c r="M38" s="46">
        <v>20</v>
      </c>
      <c r="N38" s="46">
        <v>20</v>
      </c>
      <c r="O38" s="49">
        <f t="shared" si="7"/>
        <v>38000</v>
      </c>
      <c r="P38" s="49">
        <f t="shared" si="7"/>
        <v>38000</v>
      </c>
      <c r="Q38" s="49">
        <f t="shared" si="7"/>
        <v>19000</v>
      </c>
      <c r="R38" s="49">
        <f t="shared" si="7"/>
        <v>19000</v>
      </c>
      <c r="S38" s="49">
        <f t="shared" si="7"/>
        <v>19000</v>
      </c>
      <c r="T38" s="50">
        <f t="shared" si="8"/>
        <v>133000</v>
      </c>
      <c r="V38" s="88" t="s">
        <v>195</v>
      </c>
    </row>
    <row r="39" spans="2:22" ht="36" customHeight="1">
      <c r="B39" s="275"/>
      <c r="C39" s="275"/>
      <c r="D39" s="275"/>
      <c r="E39" s="242" t="s">
        <v>160</v>
      </c>
      <c r="F39" s="46" t="s">
        <v>169</v>
      </c>
      <c r="G39" s="47" t="s">
        <v>199</v>
      </c>
      <c r="H39" s="48" t="s">
        <v>200</v>
      </c>
      <c r="I39" s="49">
        <v>1700</v>
      </c>
      <c r="J39" s="46">
        <v>1</v>
      </c>
      <c r="K39" s="46">
        <v>1</v>
      </c>
      <c r="L39" s="46">
        <v>1</v>
      </c>
      <c r="M39" s="46"/>
      <c r="N39" s="46">
        <v>1</v>
      </c>
      <c r="O39" s="49">
        <f t="shared" si="7"/>
        <v>1700</v>
      </c>
      <c r="P39" s="49">
        <f t="shared" si="7"/>
        <v>1700</v>
      </c>
      <c r="Q39" s="49">
        <f t="shared" si="7"/>
        <v>1700</v>
      </c>
      <c r="R39" s="49">
        <f t="shared" si="7"/>
        <v>0</v>
      </c>
      <c r="S39" s="49">
        <f t="shared" si="7"/>
        <v>1700</v>
      </c>
      <c r="T39" s="50">
        <f t="shared" si="8"/>
        <v>6800</v>
      </c>
      <c r="V39" s="88" t="s">
        <v>195</v>
      </c>
    </row>
    <row r="40" spans="2:22" ht="36" customHeight="1">
      <c r="B40" s="275"/>
      <c r="C40" s="275"/>
      <c r="D40" s="275"/>
      <c r="E40" s="242" t="s">
        <v>160</v>
      </c>
      <c r="F40" s="46" t="s">
        <v>169</v>
      </c>
      <c r="G40" s="47" t="s">
        <v>201</v>
      </c>
      <c r="H40" s="48" t="s">
        <v>202</v>
      </c>
      <c r="I40" s="49">
        <v>200</v>
      </c>
      <c r="J40" s="46">
        <f>J39*7</f>
        <v>7</v>
      </c>
      <c r="K40" s="46">
        <f t="shared" ref="K40:N40" si="18">K39*7</f>
        <v>7</v>
      </c>
      <c r="L40" s="46">
        <f t="shared" si="18"/>
        <v>7</v>
      </c>
      <c r="M40" s="46">
        <f t="shared" si="18"/>
        <v>0</v>
      </c>
      <c r="N40" s="46">
        <f t="shared" si="18"/>
        <v>7</v>
      </c>
      <c r="O40" s="49">
        <f t="shared" si="7"/>
        <v>1400</v>
      </c>
      <c r="P40" s="49">
        <f t="shared" si="7"/>
        <v>1400</v>
      </c>
      <c r="Q40" s="49">
        <f t="shared" si="7"/>
        <v>1400</v>
      </c>
      <c r="R40" s="49">
        <f t="shared" si="7"/>
        <v>0</v>
      </c>
      <c r="S40" s="49">
        <f t="shared" si="7"/>
        <v>1400</v>
      </c>
      <c r="T40" s="50">
        <f t="shared" si="8"/>
        <v>5600</v>
      </c>
      <c r="V40" s="88" t="s">
        <v>203</v>
      </c>
    </row>
    <row r="41" spans="2:22" ht="85.5" customHeight="1">
      <c r="B41" s="275"/>
      <c r="C41" s="275"/>
      <c r="D41" s="275"/>
      <c r="E41" s="242" t="s">
        <v>160</v>
      </c>
      <c r="F41" s="46" t="s">
        <v>170</v>
      </c>
      <c r="G41" s="47" t="s">
        <v>221</v>
      </c>
      <c r="H41" s="48"/>
      <c r="I41" s="49">
        <f>0.065*SUM(T42:T52)</f>
        <v>86710.427553750007</v>
      </c>
      <c r="J41" s="46">
        <v>0.1</v>
      </c>
      <c r="K41" s="46">
        <v>0.4</v>
      </c>
      <c r="L41" s="46">
        <v>0.3</v>
      </c>
      <c r="M41" s="46">
        <v>0.2</v>
      </c>
      <c r="N41" s="46"/>
      <c r="O41" s="49">
        <f t="shared" si="7"/>
        <v>8671.0427553750014</v>
      </c>
      <c r="P41" s="49">
        <f t="shared" si="7"/>
        <v>34684.171021500006</v>
      </c>
      <c r="Q41" s="49">
        <f t="shared" si="7"/>
        <v>26013.128266125001</v>
      </c>
      <c r="R41" s="49">
        <f t="shared" si="7"/>
        <v>17342.085510750003</v>
      </c>
      <c r="S41" s="49">
        <f t="shared" si="7"/>
        <v>0</v>
      </c>
      <c r="T41" s="55">
        <f t="shared" si="8"/>
        <v>86710.427553750022</v>
      </c>
      <c r="V41" s="88" t="s">
        <v>195</v>
      </c>
    </row>
    <row r="42" spans="2:22" ht="57">
      <c r="B42" s="275"/>
      <c r="C42" s="275"/>
      <c r="D42" s="275"/>
      <c r="E42" s="242" t="s">
        <v>160</v>
      </c>
      <c r="F42" s="46" t="s">
        <v>167</v>
      </c>
      <c r="G42" s="47" t="s">
        <v>222</v>
      </c>
      <c r="H42" s="48" t="s">
        <v>223</v>
      </c>
      <c r="I42" s="54">
        <v>48.400000000000006</v>
      </c>
      <c r="J42" s="46"/>
      <c r="K42" s="46"/>
      <c r="L42" s="46">
        <v>284</v>
      </c>
      <c r="M42" s="46"/>
      <c r="N42" s="46"/>
      <c r="O42" s="49">
        <f t="shared" si="7"/>
        <v>0</v>
      </c>
      <c r="P42" s="49">
        <f t="shared" si="7"/>
        <v>0</v>
      </c>
      <c r="Q42" s="49">
        <f t="shared" si="7"/>
        <v>13745.600000000002</v>
      </c>
      <c r="R42" s="49">
        <f t="shared" si="7"/>
        <v>0</v>
      </c>
      <c r="S42" s="49">
        <f t="shared" si="7"/>
        <v>0</v>
      </c>
      <c r="T42" s="55">
        <f t="shared" ref="T42:T52" si="19">SUM(O42:S42)</f>
        <v>13745.600000000002</v>
      </c>
      <c r="V42" s="88" t="s">
        <v>195</v>
      </c>
    </row>
    <row r="43" spans="2:22" ht="71.25">
      <c r="B43" s="275"/>
      <c r="C43" s="275"/>
      <c r="D43" s="275"/>
      <c r="E43" s="242" t="s">
        <v>160</v>
      </c>
      <c r="F43" s="46" t="s">
        <v>167</v>
      </c>
      <c r="G43" s="47" t="s">
        <v>224</v>
      </c>
      <c r="H43" s="48" t="s">
        <v>207</v>
      </c>
      <c r="I43" s="54">
        <v>16.940000000000005</v>
      </c>
      <c r="J43" s="46"/>
      <c r="K43" s="46"/>
      <c r="L43" s="46">
        <v>3825.3</v>
      </c>
      <c r="M43" s="46"/>
      <c r="N43" s="46"/>
      <c r="O43" s="49">
        <f t="shared" si="7"/>
        <v>0</v>
      </c>
      <c r="P43" s="49">
        <f t="shared" si="7"/>
        <v>0</v>
      </c>
      <c r="Q43" s="49">
        <f t="shared" si="7"/>
        <v>64800.582000000024</v>
      </c>
      <c r="R43" s="49">
        <f t="shared" si="7"/>
        <v>0</v>
      </c>
      <c r="S43" s="49">
        <f t="shared" si="7"/>
        <v>0</v>
      </c>
      <c r="T43" s="55">
        <f t="shared" si="19"/>
        <v>64800.582000000024</v>
      </c>
      <c r="V43" s="88" t="s">
        <v>195</v>
      </c>
    </row>
    <row r="44" spans="2:22" ht="57">
      <c r="B44" s="275"/>
      <c r="C44" s="275"/>
      <c r="D44" s="275"/>
      <c r="E44" s="242" t="s">
        <v>160</v>
      </c>
      <c r="F44" s="46" t="s">
        <v>167</v>
      </c>
      <c r="G44" s="47" t="s">
        <v>225</v>
      </c>
      <c r="H44" s="48" t="s">
        <v>207</v>
      </c>
      <c r="I44" s="54">
        <v>16.940000000000005</v>
      </c>
      <c r="J44" s="46"/>
      <c r="K44" s="46"/>
      <c r="L44" s="46">
        <v>10883.6</v>
      </c>
      <c r="M44" s="46"/>
      <c r="N44" s="46"/>
      <c r="O44" s="49">
        <f t="shared" si="7"/>
        <v>0</v>
      </c>
      <c r="P44" s="49">
        <f t="shared" si="7"/>
        <v>0</v>
      </c>
      <c r="Q44" s="49">
        <f t="shared" si="7"/>
        <v>184368.18400000007</v>
      </c>
      <c r="R44" s="49">
        <f t="shared" si="7"/>
        <v>0</v>
      </c>
      <c r="S44" s="49">
        <f t="shared" si="7"/>
        <v>0</v>
      </c>
      <c r="T44" s="55">
        <f t="shared" si="19"/>
        <v>184368.18400000007</v>
      </c>
      <c r="V44" s="88" t="s">
        <v>195</v>
      </c>
    </row>
    <row r="45" spans="2:22" ht="42.75">
      <c r="B45" s="275"/>
      <c r="C45" s="275"/>
      <c r="D45" s="275"/>
      <c r="E45" s="242" t="s">
        <v>160</v>
      </c>
      <c r="F45" s="46" t="s">
        <v>167</v>
      </c>
      <c r="G45" s="47" t="s">
        <v>226</v>
      </c>
      <c r="H45" s="48" t="s">
        <v>207</v>
      </c>
      <c r="I45" s="54">
        <v>5.7475000000000014</v>
      </c>
      <c r="J45" s="46"/>
      <c r="K45" s="46"/>
      <c r="L45" s="46">
        <v>5051.7</v>
      </c>
      <c r="M45" s="46"/>
      <c r="N45" s="46"/>
      <c r="O45" s="49">
        <f t="shared" si="7"/>
        <v>0</v>
      </c>
      <c r="P45" s="49">
        <f t="shared" si="7"/>
        <v>0</v>
      </c>
      <c r="Q45" s="49">
        <f t="shared" si="7"/>
        <v>29034.645750000007</v>
      </c>
      <c r="R45" s="49">
        <f t="shared" si="7"/>
        <v>0</v>
      </c>
      <c r="S45" s="49">
        <f t="shared" si="7"/>
        <v>0</v>
      </c>
      <c r="T45" s="55">
        <f t="shared" si="19"/>
        <v>29034.645750000007</v>
      </c>
      <c r="V45" s="88" t="s">
        <v>195</v>
      </c>
    </row>
    <row r="46" spans="2:22" ht="42.75">
      <c r="B46" s="275"/>
      <c r="C46" s="275"/>
      <c r="D46" s="275"/>
      <c r="E46" s="242" t="s">
        <v>160</v>
      </c>
      <c r="F46" s="46" t="s">
        <v>167</v>
      </c>
      <c r="G46" s="47" t="s">
        <v>227</v>
      </c>
      <c r="H46" s="48" t="s">
        <v>207</v>
      </c>
      <c r="I46" s="54">
        <v>0</v>
      </c>
      <c r="J46" s="46"/>
      <c r="K46" s="46"/>
      <c r="L46" s="46">
        <v>0</v>
      </c>
      <c r="M46" s="46"/>
      <c r="N46" s="46"/>
      <c r="O46" s="49">
        <f t="shared" si="7"/>
        <v>0</v>
      </c>
      <c r="P46" s="49">
        <f t="shared" si="7"/>
        <v>0</v>
      </c>
      <c r="Q46" s="49">
        <f t="shared" si="7"/>
        <v>0</v>
      </c>
      <c r="R46" s="49">
        <f t="shared" si="7"/>
        <v>0</v>
      </c>
      <c r="S46" s="49">
        <f t="shared" si="7"/>
        <v>0</v>
      </c>
      <c r="T46" s="55">
        <f t="shared" si="19"/>
        <v>0</v>
      </c>
      <c r="V46" s="88" t="s">
        <v>195</v>
      </c>
    </row>
    <row r="47" spans="2:22" ht="85.5">
      <c r="B47" s="275"/>
      <c r="C47" s="275"/>
      <c r="D47" s="275"/>
      <c r="E47" s="242" t="s">
        <v>160</v>
      </c>
      <c r="F47" s="46" t="s">
        <v>167</v>
      </c>
      <c r="G47" s="47" t="s">
        <v>228</v>
      </c>
      <c r="H47" s="48" t="s">
        <v>229</v>
      </c>
      <c r="I47" s="54">
        <v>4783.4325000000008</v>
      </c>
      <c r="J47" s="46"/>
      <c r="K47" s="46"/>
      <c r="L47" s="46">
        <v>22</v>
      </c>
      <c r="M47" s="46"/>
      <c r="N47" s="46"/>
      <c r="O47" s="49">
        <f t="shared" si="7"/>
        <v>0</v>
      </c>
      <c r="P47" s="49">
        <f t="shared" si="7"/>
        <v>0</v>
      </c>
      <c r="Q47" s="49">
        <f t="shared" si="7"/>
        <v>105235.51500000001</v>
      </c>
      <c r="R47" s="49">
        <f t="shared" si="7"/>
        <v>0</v>
      </c>
      <c r="S47" s="49">
        <f t="shared" si="7"/>
        <v>0</v>
      </c>
      <c r="T47" s="55">
        <f t="shared" si="19"/>
        <v>105235.51500000001</v>
      </c>
      <c r="V47" s="88" t="s">
        <v>195</v>
      </c>
    </row>
    <row r="48" spans="2:22" ht="71.25">
      <c r="B48" s="275"/>
      <c r="C48" s="275"/>
      <c r="D48" s="275"/>
      <c r="E48" s="242" t="s">
        <v>160</v>
      </c>
      <c r="F48" s="46" t="s">
        <v>167</v>
      </c>
      <c r="G48" s="47" t="s">
        <v>230</v>
      </c>
      <c r="H48" s="48" t="s">
        <v>223</v>
      </c>
      <c r="I48" s="54">
        <v>45.375000000000007</v>
      </c>
      <c r="J48" s="46"/>
      <c r="K48" s="27"/>
      <c r="L48" s="53">
        <v>3280.5</v>
      </c>
      <c r="M48" s="46"/>
      <c r="N48" s="46"/>
      <c r="O48" s="49">
        <f t="shared" si="7"/>
        <v>0</v>
      </c>
      <c r="P48" s="49">
        <f t="shared" si="7"/>
        <v>0</v>
      </c>
      <c r="Q48" s="49">
        <f t="shared" si="7"/>
        <v>148852.68750000003</v>
      </c>
      <c r="R48" s="49">
        <f t="shared" si="7"/>
        <v>0</v>
      </c>
      <c r="S48" s="49">
        <f t="shared" si="7"/>
        <v>0</v>
      </c>
      <c r="T48" s="50">
        <f t="shared" si="19"/>
        <v>148852.68750000003</v>
      </c>
      <c r="V48" s="88" t="s">
        <v>195</v>
      </c>
    </row>
    <row r="49" spans="2:22" ht="57">
      <c r="B49" s="275"/>
      <c r="C49" s="275"/>
      <c r="D49" s="275"/>
      <c r="E49" s="242" t="s">
        <v>160</v>
      </c>
      <c r="F49" s="46" t="s">
        <v>167</v>
      </c>
      <c r="G49" s="47" t="s">
        <v>231</v>
      </c>
      <c r="H49" s="48" t="s">
        <v>223</v>
      </c>
      <c r="I49" s="49">
        <v>121.00000000000003</v>
      </c>
      <c r="J49" s="46"/>
      <c r="K49" s="27"/>
      <c r="L49" s="53">
        <v>4267</v>
      </c>
      <c r="M49" s="46"/>
      <c r="N49" s="46"/>
      <c r="O49" s="49">
        <f t="shared" si="7"/>
        <v>0</v>
      </c>
      <c r="P49" s="49">
        <f t="shared" si="7"/>
        <v>0</v>
      </c>
      <c r="Q49" s="49">
        <f t="shared" si="7"/>
        <v>516307.00000000012</v>
      </c>
      <c r="R49" s="49">
        <f t="shared" si="7"/>
        <v>0</v>
      </c>
      <c r="S49" s="49">
        <f t="shared" si="7"/>
        <v>0</v>
      </c>
      <c r="T49" s="50">
        <f t="shared" si="19"/>
        <v>516307.00000000012</v>
      </c>
      <c r="V49" s="88" t="s">
        <v>195</v>
      </c>
    </row>
    <row r="50" spans="2:22" ht="42.75">
      <c r="B50" s="275"/>
      <c r="C50" s="275"/>
      <c r="D50" s="275"/>
      <c r="E50" s="242" t="s">
        <v>160</v>
      </c>
      <c r="F50" s="46" t="s">
        <v>167</v>
      </c>
      <c r="G50" s="47" t="s">
        <v>232</v>
      </c>
      <c r="H50" s="48" t="s">
        <v>229</v>
      </c>
      <c r="I50" s="54">
        <v>38.720000000000006</v>
      </c>
      <c r="J50" s="46"/>
      <c r="K50" s="46"/>
      <c r="L50" s="46">
        <v>100</v>
      </c>
      <c r="M50" s="46"/>
      <c r="N50" s="46"/>
      <c r="O50" s="49">
        <f t="shared" si="7"/>
        <v>0</v>
      </c>
      <c r="P50" s="49">
        <f t="shared" si="7"/>
        <v>0</v>
      </c>
      <c r="Q50" s="49">
        <f t="shared" si="7"/>
        <v>3872.0000000000005</v>
      </c>
      <c r="R50" s="49">
        <f t="shared" si="7"/>
        <v>0</v>
      </c>
      <c r="S50" s="49">
        <f t="shared" si="7"/>
        <v>0</v>
      </c>
      <c r="T50" s="55">
        <f t="shared" si="19"/>
        <v>3872.0000000000005</v>
      </c>
      <c r="V50" s="88" t="s">
        <v>195</v>
      </c>
    </row>
    <row r="51" spans="2:22" ht="42.75">
      <c r="B51" s="275"/>
      <c r="C51" s="275"/>
      <c r="D51" s="275"/>
      <c r="E51" s="242" t="s">
        <v>160</v>
      </c>
      <c r="F51" s="46" t="s">
        <v>167</v>
      </c>
      <c r="G51" s="47" t="s">
        <v>233</v>
      </c>
      <c r="H51" s="48" t="s">
        <v>229</v>
      </c>
      <c r="I51" s="54">
        <v>42.35</v>
      </c>
      <c r="J51" s="46"/>
      <c r="K51" s="46"/>
      <c r="L51" s="46">
        <v>300</v>
      </c>
      <c r="M51" s="46"/>
      <c r="N51" s="46"/>
      <c r="O51" s="49">
        <f t="shared" si="7"/>
        <v>0</v>
      </c>
      <c r="P51" s="49">
        <f t="shared" si="7"/>
        <v>0</v>
      </c>
      <c r="Q51" s="49">
        <f t="shared" si="7"/>
        <v>12705</v>
      </c>
      <c r="R51" s="49">
        <f t="shared" si="7"/>
        <v>0</v>
      </c>
      <c r="S51" s="49">
        <f t="shared" si="7"/>
        <v>0</v>
      </c>
      <c r="T51" s="55">
        <f t="shared" si="19"/>
        <v>12705</v>
      </c>
      <c r="V51" s="88" t="s">
        <v>195</v>
      </c>
    </row>
    <row r="52" spans="2:22" ht="42.75">
      <c r="B52" s="275"/>
      <c r="C52" s="275"/>
      <c r="D52" s="275"/>
      <c r="E52" s="242" t="s">
        <v>160</v>
      </c>
      <c r="F52" s="46" t="s">
        <v>167</v>
      </c>
      <c r="G52" s="47" t="s">
        <v>234</v>
      </c>
      <c r="H52" s="48" t="s">
        <v>207</v>
      </c>
      <c r="I52" s="54">
        <v>8.4095000000000013</v>
      </c>
      <c r="J52" s="46"/>
      <c r="K52" s="46"/>
      <c r="L52" s="46">
        <v>30333</v>
      </c>
      <c r="M52" s="46"/>
      <c r="N52" s="46"/>
      <c r="O52" s="49">
        <f t="shared" si="7"/>
        <v>0</v>
      </c>
      <c r="P52" s="49">
        <f t="shared" si="7"/>
        <v>0</v>
      </c>
      <c r="Q52" s="49">
        <f t="shared" si="7"/>
        <v>255085.36350000004</v>
      </c>
      <c r="R52" s="49">
        <f t="shared" si="7"/>
        <v>0</v>
      </c>
      <c r="S52" s="49">
        <f t="shared" si="7"/>
        <v>0</v>
      </c>
      <c r="T52" s="55">
        <f t="shared" si="19"/>
        <v>255085.36350000004</v>
      </c>
      <c r="V52" s="88" t="s">
        <v>195</v>
      </c>
    </row>
    <row r="53" spans="2:22" ht="42.75">
      <c r="B53" s="275"/>
      <c r="C53" s="275"/>
      <c r="D53" s="275"/>
      <c r="E53" s="242" t="s">
        <v>160</v>
      </c>
      <c r="F53" s="46" t="s">
        <v>168</v>
      </c>
      <c r="G53" s="47" t="s">
        <v>235</v>
      </c>
      <c r="H53" s="48" t="s">
        <v>194</v>
      </c>
      <c r="I53" s="49">
        <v>150</v>
      </c>
      <c r="J53" s="46"/>
      <c r="K53" s="46"/>
      <c r="L53" s="46"/>
      <c r="M53" s="46">
        <v>50</v>
      </c>
      <c r="N53" s="46">
        <v>50</v>
      </c>
      <c r="O53" s="49">
        <f t="shared" si="7"/>
        <v>0</v>
      </c>
      <c r="P53" s="49">
        <f t="shared" si="7"/>
        <v>0</v>
      </c>
      <c r="Q53" s="49">
        <f t="shared" si="7"/>
        <v>0</v>
      </c>
      <c r="R53" s="49">
        <f t="shared" si="7"/>
        <v>7500</v>
      </c>
      <c r="S53" s="49">
        <f t="shared" si="7"/>
        <v>7500</v>
      </c>
      <c r="T53" s="55">
        <f t="shared" si="8"/>
        <v>15000</v>
      </c>
      <c r="V53" s="88" t="s">
        <v>195</v>
      </c>
    </row>
    <row r="54" spans="2:22" ht="30" customHeight="1">
      <c r="B54" s="275"/>
      <c r="C54" s="275"/>
      <c r="D54" s="275" t="s">
        <v>236</v>
      </c>
      <c r="E54" s="242" t="s">
        <v>160</v>
      </c>
      <c r="F54" s="46" t="s">
        <v>163</v>
      </c>
      <c r="G54" s="47" t="s">
        <v>237</v>
      </c>
      <c r="H54" s="48" t="s">
        <v>194</v>
      </c>
      <c r="I54" s="49">
        <v>150</v>
      </c>
      <c r="J54" s="46">
        <v>120</v>
      </c>
      <c r="K54" s="46">
        <v>120</v>
      </c>
      <c r="L54" s="46">
        <v>120</v>
      </c>
      <c r="M54" s="46">
        <v>120</v>
      </c>
      <c r="N54" s="46">
        <v>120</v>
      </c>
      <c r="O54" s="49">
        <f t="shared" si="7"/>
        <v>18000</v>
      </c>
      <c r="P54" s="49">
        <f t="shared" si="7"/>
        <v>18000</v>
      </c>
      <c r="Q54" s="49">
        <f t="shared" si="7"/>
        <v>18000</v>
      </c>
      <c r="R54" s="49">
        <f t="shared" si="7"/>
        <v>18000</v>
      </c>
      <c r="S54" s="49">
        <f t="shared" si="7"/>
        <v>18000</v>
      </c>
      <c r="T54" s="55">
        <f t="shared" si="8"/>
        <v>90000</v>
      </c>
      <c r="V54" s="88" t="s">
        <v>195</v>
      </c>
    </row>
    <row r="55" spans="2:22" ht="30" customHeight="1">
      <c r="B55" s="275"/>
      <c r="C55" s="275"/>
      <c r="D55" s="275"/>
      <c r="E55" s="242" t="s">
        <v>160</v>
      </c>
      <c r="F55" s="46" t="s">
        <v>169</v>
      </c>
      <c r="G55" s="47" t="s">
        <v>196</v>
      </c>
      <c r="H55" s="48" t="s">
        <v>197</v>
      </c>
      <c r="I55" s="49">
        <v>100</v>
      </c>
      <c r="J55" s="46">
        <v>30</v>
      </c>
      <c r="K55" s="46">
        <v>30</v>
      </c>
      <c r="L55" s="46">
        <v>30</v>
      </c>
      <c r="M55" s="46">
        <v>30</v>
      </c>
      <c r="N55" s="46">
        <v>30</v>
      </c>
      <c r="O55" s="49">
        <f t="shared" ref="O55:S55" si="20">$I55*J55</f>
        <v>3000</v>
      </c>
      <c r="P55" s="49">
        <f t="shared" si="20"/>
        <v>3000</v>
      </c>
      <c r="Q55" s="49">
        <f t="shared" si="20"/>
        <v>3000</v>
      </c>
      <c r="R55" s="49">
        <f t="shared" si="20"/>
        <v>3000</v>
      </c>
      <c r="S55" s="49">
        <f t="shared" si="20"/>
        <v>3000</v>
      </c>
      <c r="T55" s="55">
        <f t="shared" ref="T55" si="21">SUM(O55:S55)</f>
        <v>15000</v>
      </c>
      <c r="V55" s="88" t="s">
        <v>195</v>
      </c>
    </row>
    <row r="56" spans="2:22" ht="45" customHeight="1">
      <c r="B56" s="275"/>
      <c r="C56" s="275"/>
      <c r="D56" s="275"/>
      <c r="E56" s="242" t="s">
        <v>160</v>
      </c>
      <c r="F56" s="46" t="s">
        <v>165</v>
      </c>
      <c r="G56" s="47" t="s">
        <v>238</v>
      </c>
      <c r="H56" s="48" t="s">
        <v>194</v>
      </c>
      <c r="I56" s="49">
        <v>950</v>
      </c>
      <c r="J56" s="46">
        <v>20</v>
      </c>
      <c r="K56" s="46">
        <v>20</v>
      </c>
      <c r="L56" s="46">
        <v>10</v>
      </c>
      <c r="M56" s="46">
        <v>10</v>
      </c>
      <c r="N56" s="46">
        <v>20</v>
      </c>
      <c r="O56" s="49">
        <f t="shared" si="7"/>
        <v>19000</v>
      </c>
      <c r="P56" s="49">
        <f t="shared" si="7"/>
        <v>19000</v>
      </c>
      <c r="Q56" s="49">
        <f t="shared" si="7"/>
        <v>9500</v>
      </c>
      <c r="R56" s="49">
        <f t="shared" si="7"/>
        <v>9500</v>
      </c>
      <c r="S56" s="49">
        <f t="shared" si="7"/>
        <v>19000</v>
      </c>
      <c r="T56" s="55">
        <f t="shared" si="8"/>
        <v>76000</v>
      </c>
      <c r="V56" s="88" t="s">
        <v>195</v>
      </c>
    </row>
    <row r="57" spans="2:22" ht="36" customHeight="1">
      <c r="B57" s="275"/>
      <c r="C57" s="275"/>
      <c r="D57" s="275"/>
      <c r="E57" s="242" t="s">
        <v>160</v>
      </c>
      <c r="F57" s="46" t="s">
        <v>169</v>
      </c>
      <c r="G57" s="47" t="s">
        <v>199</v>
      </c>
      <c r="H57" s="48" t="s">
        <v>200</v>
      </c>
      <c r="I57" s="49">
        <v>1700</v>
      </c>
      <c r="J57" s="46">
        <v>1</v>
      </c>
      <c r="K57" s="46">
        <v>1</v>
      </c>
      <c r="L57" s="46"/>
      <c r="M57" s="46"/>
      <c r="N57" s="46">
        <v>1</v>
      </c>
      <c r="O57" s="49">
        <f t="shared" si="7"/>
        <v>1700</v>
      </c>
      <c r="P57" s="49">
        <f t="shared" si="7"/>
        <v>1700</v>
      </c>
      <c r="Q57" s="49">
        <f t="shared" si="7"/>
        <v>0</v>
      </c>
      <c r="R57" s="49">
        <f t="shared" si="7"/>
        <v>0</v>
      </c>
      <c r="S57" s="49">
        <f t="shared" si="7"/>
        <v>1700</v>
      </c>
      <c r="T57" s="55">
        <f t="shared" si="8"/>
        <v>5100</v>
      </c>
      <c r="V57" s="88" t="s">
        <v>195</v>
      </c>
    </row>
    <row r="58" spans="2:22" ht="36" customHeight="1">
      <c r="B58" s="275"/>
      <c r="C58" s="275"/>
      <c r="D58" s="275"/>
      <c r="E58" s="242" t="s">
        <v>160</v>
      </c>
      <c r="F58" s="46" t="s">
        <v>169</v>
      </c>
      <c r="G58" s="47" t="s">
        <v>201</v>
      </c>
      <c r="H58" s="48" t="s">
        <v>202</v>
      </c>
      <c r="I58" s="49">
        <v>200</v>
      </c>
      <c r="J58" s="46">
        <f>J57*7</f>
        <v>7</v>
      </c>
      <c r="K58" s="46">
        <f t="shared" ref="K58:N58" si="22">K57*7</f>
        <v>7</v>
      </c>
      <c r="L58" s="46">
        <f t="shared" si="22"/>
        <v>0</v>
      </c>
      <c r="M58" s="46">
        <f t="shared" si="22"/>
        <v>0</v>
      </c>
      <c r="N58" s="46">
        <f t="shared" si="22"/>
        <v>7</v>
      </c>
      <c r="O58" s="49">
        <f t="shared" si="7"/>
        <v>1400</v>
      </c>
      <c r="P58" s="49">
        <f t="shared" si="7"/>
        <v>1400</v>
      </c>
      <c r="Q58" s="49">
        <f t="shared" si="7"/>
        <v>0</v>
      </c>
      <c r="R58" s="49">
        <f t="shared" si="7"/>
        <v>0</v>
      </c>
      <c r="S58" s="49">
        <f t="shared" si="7"/>
        <v>1400</v>
      </c>
      <c r="T58" s="55">
        <f t="shared" si="8"/>
        <v>4200</v>
      </c>
      <c r="V58" s="88" t="s">
        <v>203</v>
      </c>
    </row>
    <row r="59" spans="2:22" ht="85.5">
      <c r="B59" s="275"/>
      <c r="C59" s="275"/>
      <c r="D59" s="275"/>
      <c r="E59" s="242" t="s">
        <v>160</v>
      </c>
      <c r="F59" s="46" t="s">
        <v>170</v>
      </c>
      <c r="G59" s="47" t="s">
        <v>239</v>
      </c>
      <c r="H59" s="48" t="s">
        <v>205</v>
      </c>
      <c r="I59" s="49">
        <f>0.1*T60</f>
        <v>23984.317500000005</v>
      </c>
      <c r="J59" s="46">
        <v>0.1</v>
      </c>
      <c r="K59" s="46">
        <v>0.4</v>
      </c>
      <c r="L59" s="46">
        <v>0.4</v>
      </c>
      <c r="M59" s="46">
        <v>0.1</v>
      </c>
      <c r="N59" s="46"/>
      <c r="O59" s="49">
        <f t="shared" si="7"/>
        <v>2398.4317500000006</v>
      </c>
      <c r="P59" s="49">
        <f t="shared" si="7"/>
        <v>9593.7270000000026</v>
      </c>
      <c r="Q59" s="49">
        <f t="shared" si="7"/>
        <v>9593.7270000000026</v>
      </c>
      <c r="R59" s="49">
        <f t="shared" si="7"/>
        <v>2398.4317500000006</v>
      </c>
      <c r="S59" s="49">
        <f t="shared" si="7"/>
        <v>0</v>
      </c>
      <c r="T59" s="55">
        <f t="shared" si="8"/>
        <v>23984.317500000005</v>
      </c>
      <c r="V59" s="88" t="s">
        <v>195</v>
      </c>
    </row>
    <row r="60" spans="2:22" ht="57">
      <c r="B60" s="275"/>
      <c r="C60" s="275"/>
      <c r="D60" s="275"/>
      <c r="E60" s="242" t="s">
        <v>160</v>
      </c>
      <c r="F60" s="46" t="s">
        <v>167</v>
      </c>
      <c r="G60" s="47" t="s">
        <v>240</v>
      </c>
      <c r="H60" s="48" t="s">
        <v>241</v>
      </c>
      <c r="I60" s="49">
        <v>747.17500000000007</v>
      </c>
      <c r="J60" s="46"/>
      <c r="K60" s="46">
        <v>100</v>
      </c>
      <c r="L60" s="46">
        <v>221</v>
      </c>
      <c r="M60" s="46"/>
      <c r="N60" s="46"/>
      <c r="O60" s="49">
        <f t="shared" si="7"/>
        <v>0</v>
      </c>
      <c r="P60" s="49">
        <f t="shared" si="7"/>
        <v>74717.5</v>
      </c>
      <c r="Q60" s="49">
        <f t="shared" si="7"/>
        <v>165125.67500000002</v>
      </c>
      <c r="R60" s="49">
        <f t="shared" si="7"/>
        <v>0</v>
      </c>
      <c r="S60" s="49">
        <f t="shared" si="7"/>
        <v>0</v>
      </c>
      <c r="T60" s="55">
        <f t="shared" si="8"/>
        <v>239843.17500000002</v>
      </c>
      <c r="V60" s="88" t="s">
        <v>195</v>
      </c>
    </row>
    <row r="61" spans="2:22" ht="42.75">
      <c r="B61" s="275"/>
      <c r="C61" s="275"/>
      <c r="D61" s="275"/>
      <c r="E61" s="242" t="s">
        <v>160</v>
      </c>
      <c r="F61" s="46" t="s">
        <v>168</v>
      </c>
      <c r="G61" s="47" t="s">
        <v>242</v>
      </c>
      <c r="H61" s="48" t="s">
        <v>194</v>
      </c>
      <c r="I61" s="49">
        <v>150</v>
      </c>
      <c r="J61" s="46"/>
      <c r="K61" s="46">
        <v>10</v>
      </c>
      <c r="L61" s="46">
        <v>50</v>
      </c>
      <c r="M61" s="46">
        <v>50</v>
      </c>
      <c r="N61" s="46">
        <v>10</v>
      </c>
      <c r="O61" s="49">
        <f t="shared" si="7"/>
        <v>0</v>
      </c>
      <c r="P61" s="49">
        <f t="shared" si="7"/>
        <v>1500</v>
      </c>
      <c r="Q61" s="49">
        <f t="shared" si="7"/>
        <v>7500</v>
      </c>
      <c r="R61" s="49">
        <f t="shared" si="7"/>
        <v>7500</v>
      </c>
      <c r="S61" s="49">
        <f t="shared" si="7"/>
        <v>1500</v>
      </c>
      <c r="T61" s="55">
        <f t="shared" si="8"/>
        <v>18000</v>
      </c>
      <c r="V61" s="88" t="s">
        <v>195</v>
      </c>
    </row>
    <row r="62" spans="2:22" ht="81.75" customHeight="1">
      <c r="B62" s="275"/>
      <c r="C62" s="275"/>
      <c r="D62" s="275"/>
      <c r="E62" s="242" t="s">
        <v>160</v>
      </c>
      <c r="F62" s="46" t="s">
        <v>170</v>
      </c>
      <c r="G62" s="47" t="s">
        <v>243</v>
      </c>
      <c r="H62" s="48"/>
      <c r="I62" s="49">
        <f>0.1*T63</f>
        <v>29233.9</v>
      </c>
      <c r="J62" s="46"/>
      <c r="K62" s="46">
        <v>1</v>
      </c>
      <c r="L62" s="46"/>
      <c r="M62" s="46"/>
      <c r="N62" s="46"/>
      <c r="O62" s="49">
        <f t="shared" si="7"/>
        <v>0</v>
      </c>
      <c r="P62" s="49">
        <f t="shared" si="7"/>
        <v>29233.9</v>
      </c>
      <c r="Q62" s="49">
        <f t="shared" si="7"/>
        <v>0</v>
      </c>
      <c r="R62" s="49">
        <f t="shared" si="7"/>
        <v>0</v>
      </c>
      <c r="S62" s="49">
        <f t="shared" si="7"/>
        <v>0</v>
      </c>
      <c r="T62" s="55">
        <f t="shared" si="8"/>
        <v>29233.9</v>
      </c>
      <c r="V62" s="88" t="s">
        <v>203</v>
      </c>
    </row>
    <row r="63" spans="2:22">
      <c r="B63" s="275"/>
      <c r="C63" s="275"/>
      <c r="D63" s="275"/>
      <c r="E63" s="242" t="s">
        <v>160</v>
      </c>
      <c r="F63" s="46" t="s">
        <v>167</v>
      </c>
      <c r="G63" s="47" t="s">
        <v>244</v>
      </c>
      <c r="H63" s="48" t="s">
        <v>245</v>
      </c>
      <c r="I63" s="49">
        <v>292339</v>
      </c>
      <c r="J63" s="46"/>
      <c r="K63" s="46"/>
      <c r="L63" s="46">
        <v>1</v>
      </c>
      <c r="M63" s="46"/>
      <c r="N63" s="46"/>
      <c r="O63" s="49">
        <f t="shared" si="7"/>
        <v>0</v>
      </c>
      <c r="P63" s="49">
        <f t="shared" si="7"/>
        <v>0</v>
      </c>
      <c r="Q63" s="49">
        <f t="shared" si="7"/>
        <v>292339</v>
      </c>
      <c r="R63" s="49">
        <f t="shared" si="7"/>
        <v>0</v>
      </c>
      <c r="S63" s="49">
        <f t="shared" si="7"/>
        <v>0</v>
      </c>
      <c r="T63" s="55">
        <f t="shared" si="8"/>
        <v>292339</v>
      </c>
      <c r="V63" s="88" t="s">
        <v>246</v>
      </c>
    </row>
    <row r="64" spans="2:22" ht="85.5">
      <c r="B64" s="275"/>
      <c r="C64" s="275"/>
      <c r="D64" s="275"/>
      <c r="E64" s="242" t="s">
        <v>160</v>
      </c>
      <c r="F64" s="46" t="s">
        <v>168</v>
      </c>
      <c r="G64" s="47" t="s">
        <v>247</v>
      </c>
      <c r="H64" s="48" t="s">
        <v>194</v>
      </c>
      <c r="I64" s="49">
        <v>150</v>
      </c>
      <c r="J64" s="46"/>
      <c r="K64" s="46">
        <v>40</v>
      </c>
      <c r="L64" s="46"/>
      <c r="M64" s="46"/>
      <c r="N64" s="46"/>
      <c r="O64" s="49">
        <f t="shared" si="7"/>
        <v>0</v>
      </c>
      <c r="P64" s="49">
        <f t="shared" si="7"/>
        <v>6000</v>
      </c>
      <c r="Q64" s="49">
        <f t="shared" si="7"/>
        <v>0</v>
      </c>
      <c r="R64" s="49">
        <f t="shared" si="7"/>
        <v>0</v>
      </c>
      <c r="S64" s="49">
        <f t="shared" si="7"/>
        <v>0</v>
      </c>
      <c r="T64" s="55">
        <f t="shared" si="8"/>
        <v>6000</v>
      </c>
      <c r="V64" s="88" t="s">
        <v>248</v>
      </c>
    </row>
    <row r="65" spans="2:22" ht="30" customHeight="1">
      <c r="B65" s="275"/>
      <c r="C65" s="275"/>
      <c r="D65" s="275" t="s">
        <v>249</v>
      </c>
      <c r="E65" s="242" t="s">
        <v>160</v>
      </c>
      <c r="F65" s="46" t="s">
        <v>163</v>
      </c>
      <c r="G65" s="47" t="s">
        <v>250</v>
      </c>
      <c r="H65" s="48" t="s">
        <v>194</v>
      </c>
      <c r="I65" s="49">
        <v>150</v>
      </c>
      <c r="J65" s="46">
        <v>120</v>
      </c>
      <c r="K65" s="46">
        <v>120</v>
      </c>
      <c r="L65" s="46">
        <v>60</v>
      </c>
      <c r="M65" s="46">
        <v>60</v>
      </c>
      <c r="N65" s="46">
        <v>60</v>
      </c>
      <c r="O65" s="49">
        <f t="shared" si="7"/>
        <v>18000</v>
      </c>
      <c r="P65" s="49">
        <f t="shared" si="7"/>
        <v>18000</v>
      </c>
      <c r="Q65" s="49">
        <f t="shared" si="7"/>
        <v>9000</v>
      </c>
      <c r="R65" s="49">
        <f t="shared" si="7"/>
        <v>9000</v>
      </c>
      <c r="S65" s="49">
        <f t="shared" si="7"/>
        <v>9000</v>
      </c>
      <c r="T65" s="55">
        <f t="shared" si="8"/>
        <v>63000</v>
      </c>
      <c r="V65" s="88" t="s">
        <v>195</v>
      </c>
    </row>
    <row r="66" spans="2:22" ht="30" customHeight="1">
      <c r="B66" s="275"/>
      <c r="C66" s="275"/>
      <c r="D66" s="275"/>
      <c r="E66" s="242" t="s">
        <v>160</v>
      </c>
      <c r="F66" s="46" t="s">
        <v>169</v>
      </c>
      <c r="G66" s="47" t="s">
        <v>196</v>
      </c>
      <c r="H66" s="48" t="s">
        <v>197</v>
      </c>
      <c r="I66" s="49">
        <v>100</v>
      </c>
      <c r="J66" s="46">
        <v>30</v>
      </c>
      <c r="K66" s="46">
        <v>30</v>
      </c>
      <c r="L66" s="46">
        <v>15</v>
      </c>
      <c r="M66" s="46">
        <v>15</v>
      </c>
      <c r="N66" s="46">
        <v>15</v>
      </c>
      <c r="O66" s="49">
        <f t="shared" ref="O66:S66" si="23">$I66*J66</f>
        <v>3000</v>
      </c>
      <c r="P66" s="49">
        <f t="shared" si="23"/>
        <v>3000</v>
      </c>
      <c r="Q66" s="49">
        <f t="shared" si="23"/>
        <v>1500</v>
      </c>
      <c r="R66" s="49">
        <f t="shared" si="23"/>
        <v>1500</v>
      </c>
      <c r="S66" s="49">
        <f t="shared" si="23"/>
        <v>1500</v>
      </c>
      <c r="T66" s="55">
        <f t="shared" ref="T66" si="24">SUM(O66:S66)</f>
        <v>10500</v>
      </c>
      <c r="V66" s="88" t="s">
        <v>195</v>
      </c>
    </row>
    <row r="67" spans="2:22" ht="85.5">
      <c r="B67" s="275"/>
      <c r="C67" s="275"/>
      <c r="D67" s="275"/>
      <c r="E67" s="242" t="s">
        <v>160</v>
      </c>
      <c r="F67" s="46" t="s">
        <v>170</v>
      </c>
      <c r="G67" s="47" t="s">
        <v>251</v>
      </c>
      <c r="H67" s="48"/>
      <c r="I67" s="49">
        <f>0.065*T68</f>
        <v>5720</v>
      </c>
      <c r="J67" s="46">
        <v>1</v>
      </c>
      <c r="K67" s="46"/>
      <c r="L67" s="46"/>
      <c r="M67" s="46"/>
      <c r="N67" s="46"/>
      <c r="O67" s="49">
        <f t="shared" si="7"/>
        <v>5720</v>
      </c>
      <c r="P67" s="49">
        <f t="shared" si="7"/>
        <v>0</v>
      </c>
      <c r="Q67" s="49">
        <f t="shared" si="7"/>
        <v>0</v>
      </c>
      <c r="R67" s="49">
        <f t="shared" si="7"/>
        <v>0</v>
      </c>
      <c r="S67" s="49">
        <f t="shared" si="7"/>
        <v>0</v>
      </c>
      <c r="T67" s="55">
        <f t="shared" si="8"/>
        <v>5720</v>
      </c>
      <c r="V67" s="88" t="s">
        <v>195</v>
      </c>
    </row>
    <row r="68" spans="2:22" ht="71.25">
      <c r="B68" s="275"/>
      <c r="C68" s="275"/>
      <c r="D68" s="275"/>
      <c r="E68" s="242" t="s">
        <v>160</v>
      </c>
      <c r="F68" s="46" t="s">
        <v>167</v>
      </c>
      <c r="G68" s="47" t="s">
        <v>252</v>
      </c>
      <c r="H68" s="48"/>
      <c r="I68" s="49">
        <v>88000</v>
      </c>
      <c r="J68" s="46"/>
      <c r="K68" s="46"/>
      <c r="L68" s="46">
        <v>1</v>
      </c>
      <c r="M68" s="46"/>
      <c r="N68" s="46"/>
      <c r="O68" s="49">
        <f t="shared" si="7"/>
        <v>0</v>
      </c>
      <c r="P68" s="49">
        <f t="shared" si="7"/>
        <v>0</v>
      </c>
      <c r="Q68" s="49">
        <f t="shared" si="7"/>
        <v>88000</v>
      </c>
      <c r="R68" s="49">
        <f t="shared" si="7"/>
        <v>0</v>
      </c>
      <c r="S68" s="49">
        <f t="shared" si="7"/>
        <v>0</v>
      </c>
      <c r="T68" s="55">
        <f t="shared" si="8"/>
        <v>88000</v>
      </c>
      <c r="V68" s="88" t="s">
        <v>195</v>
      </c>
    </row>
    <row r="69" spans="2:22" ht="85.5">
      <c r="B69" s="275"/>
      <c r="C69" s="275"/>
      <c r="D69" s="275"/>
      <c r="E69" s="242" t="s">
        <v>160</v>
      </c>
      <c r="F69" s="46" t="s">
        <v>168</v>
      </c>
      <c r="G69" s="47" t="s">
        <v>253</v>
      </c>
      <c r="H69" s="48" t="s">
        <v>254</v>
      </c>
      <c r="I69" s="49">
        <v>150</v>
      </c>
      <c r="J69" s="46"/>
      <c r="K69" s="46"/>
      <c r="L69" s="46">
        <v>5</v>
      </c>
      <c r="M69" s="46">
        <v>5</v>
      </c>
      <c r="N69" s="46">
        <v>5</v>
      </c>
      <c r="O69" s="49">
        <f t="shared" si="7"/>
        <v>0</v>
      </c>
      <c r="P69" s="49">
        <f t="shared" si="7"/>
        <v>0</v>
      </c>
      <c r="Q69" s="49">
        <f t="shared" si="7"/>
        <v>750</v>
      </c>
      <c r="R69" s="49">
        <f t="shared" si="7"/>
        <v>750</v>
      </c>
      <c r="S69" s="49">
        <f t="shared" si="7"/>
        <v>750</v>
      </c>
      <c r="T69" s="50">
        <f t="shared" si="8"/>
        <v>2250</v>
      </c>
      <c r="V69" s="88" t="s">
        <v>248</v>
      </c>
    </row>
    <row r="70" spans="2:22" ht="85.5">
      <c r="B70" s="275"/>
      <c r="C70" s="275"/>
      <c r="D70" s="275"/>
      <c r="E70" s="242" t="s">
        <v>160</v>
      </c>
      <c r="F70" s="46" t="s">
        <v>168</v>
      </c>
      <c r="G70" s="47" t="s">
        <v>255</v>
      </c>
      <c r="H70" s="48" t="s">
        <v>194</v>
      </c>
      <c r="I70" s="49">
        <v>150</v>
      </c>
      <c r="J70" s="46">
        <v>10</v>
      </c>
      <c r="K70" s="46">
        <v>10</v>
      </c>
      <c r="L70" s="46">
        <v>60</v>
      </c>
      <c r="M70" s="46">
        <v>30</v>
      </c>
      <c r="N70" s="46">
        <v>30</v>
      </c>
      <c r="O70" s="49">
        <f t="shared" si="7"/>
        <v>1500</v>
      </c>
      <c r="P70" s="49">
        <f t="shared" si="7"/>
        <v>1500</v>
      </c>
      <c r="Q70" s="49">
        <f t="shared" si="7"/>
        <v>9000</v>
      </c>
      <c r="R70" s="49">
        <f t="shared" si="7"/>
        <v>4500</v>
      </c>
      <c r="S70" s="49">
        <f t="shared" si="7"/>
        <v>4500</v>
      </c>
      <c r="T70" s="50">
        <f t="shared" si="8"/>
        <v>21000</v>
      </c>
      <c r="V70" s="88" t="s">
        <v>248</v>
      </c>
    </row>
    <row r="71" spans="2:22" ht="28.5">
      <c r="B71" s="275"/>
      <c r="C71" s="275"/>
      <c r="D71" s="276" t="s">
        <v>256</v>
      </c>
      <c r="E71" s="242" t="s">
        <v>160</v>
      </c>
      <c r="F71" s="46" t="s">
        <v>163</v>
      </c>
      <c r="G71" s="47" t="s">
        <v>257</v>
      </c>
      <c r="H71" s="48" t="s">
        <v>194</v>
      </c>
      <c r="I71" s="49">
        <v>150</v>
      </c>
      <c r="J71" s="46">
        <v>60</v>
      </c>
      <c r="K71" s="46">
        <v>60</v>
      </c>
      <c r="L71" s="46">
        <v>60</v>
      </c>
      <c r="M71" s="46">
        <v>60</v>
      </c>
      <c r="N71" s="46">
        <v>60</v>
      </c>
      <c r="O71" s="49">
        <f t="shared" si="7"/>
        <v>9000</v>
      </c>
      <c r="P71" s="49">
        <f t="shared" ref="P71" si="25">$I71*K71</f>
        <v>9000</v>
      </c>
      <c r="Q71" s="49">
        <f t="shared" si="7"/>
        <v>9000</v>
      </c>
      <c r="R71" s="49">
        <f t="shared" si="7"/>
        <v>9000</v>
      </c>
      <c r="S71" s="49">
        <f t="shared" si="7"/>
        <v>9000</v>
      </c>
      <c r="T71" s="55">
        <f t="shared" si="8"/>
        <v>45000</v>
      </c>
      <c r="V71" s="88" t="s">
        <v>195</v>
      </c>
    </row>
    <row r="72" spans="2:22" ht="28.5">
      <c r="B72" s="275"/>
      <c r="C72" s="275"/>
      <c r="D72" s="277"/>
      <c r="E72" s="242" t="s">
        <v>160</v>
      </c>
      <c r="F72" s="46" t="s">
        <v>169</v>
      </c>
      <c r="G72" s="47" t="s">
        <v>196</v>
      </c>
      <c r="H72" s="48" t="s">
        <v>197</v>
      </c>
      <c r="I72" s="49">
        <v>100</v>
      </c>
      <c r="J72" s="46">
        <v>15</v>
      </c>
      <c r="K72" s="46">
        <v>15</v>
      </c>
      <c r="L72" s="46">
        <v>15</v>
      </c>
      <c r="M72" s="46">
        <v>15</v>
      </c>
      <c r="N72" s="46">
        <v>15</v>
      </c>
      <c r="O72" s="49">
        <f t="shared" ref="O72:S72" si="26">$I72*J72</f>
        <v>1500</v>
      </c>
      <c r="P72" s="49">
        <f t="shared" ref="P72" si="27">$I72*K72</f>
        <v>1500</v>
      </c>
      <c r="Q72" s="49">
        <f t="shared" si="26"/>
        <v>1500</v>
      </c>
      <c r="R72" s="49">
        <f t="shared" si="26"/>
        <v>1500</v>
      </c>
      <c r="S72" s="49">
        <f t="shared" si="26"/>
        <v>1500</v>
      </c>
      <c r="T72" s="55">
        <f t="shared" ref="T72" si="28">SUM(O72:S72)</f>
        <v>7500</v>
      </c>
      <c r="V72" s="88" t="s">
        <v>195</v>
      </c>
    </row>
    <row r="73" spans="2:22" ht="42.75">
      <c r="B73" s="275"/>
      <c r="C73" s="275"/>
      <c r="D73" s="277"/>
      <c r="E73" s="242" t="s">
        <v>160</v>
      </c>
      <c r="F73" s="46" t="s">
        <v>163</v>
      </c>
      <c r="G73" s="47" t="s">
        <v>258</v>
      </c>
      <c r="H73" s="48" t="s">
        <v>194</v>
      </c>
      <c r="I73" s="49">
        <v>150</v>
      </c>
      <c r="J73" s="46"/>
      <c r="K73" s="46">
        <v>40</v>
      </c>
      <c r="L73" s="46">
        <v>40</v>
      </c>
      <c r="M73" s="46">
        <v>40</v>
      </c>
      <c r="N73" s="46">
        <v>40</v>
      </c>
      <c r="O73" s="49">
        <f t="shared" ref="O73:S73" si="29">$I73*J73</f>
        <v>0</v>
      </c>
      <c r="P73" s="49">
        <f t="shared" ref="P73" si="30">$I73*K73</f>
        <v>6000</v>
      </c>
      <c r="Q73" s="49">
        <f t="shared" si="29"/>
        <v>6000</v>
      </c>
      <c r="R73" s="49">
        <f t="shared" si="29"/>
        <v>6000</v>
      </c>
      <c r="S73" s="49">
        <f t="shared" si="29"/>
        <v>6000</v>
      </c>
      <c r="T73" s="55">
        <f t="shared" ref="T73" si="31">SUM(O73:S73)</f>
        <v>24000</v>
      </c>
      <c r="V73" s="88" t="s">
        <v>195</v>
      </c>
    </row>
    <row r="74" spans="2:22" ht="45.6" customHeight="1">
      <c r="B74" s="275"/>
      <c r="C74" s="275"/>
      <c r="D74" s="277"/>
      <c r="E74" s="242" t="s">
        <v>160</v>
      </c>
      <c r="F74" s="46" t="s">
        <v>168</v>
      </c>
      <c r="G74" s="47" t="s">
        <v>259</v>
      </c>
      <c r="H74" s="48" t="s">
        <v>260</v>
      </c>
      <c r="I74" s="49">
        <v>250</v>
      </c>
      <c r="J74" s="46">
        <v>3</v>
      </c>
      <c r="K74" s="46">
        <v>3</v>
      </c>
      <c r="L74" s="46">
        <v>4</v>
      </c>
      <c r="M74" s="46">
        <v>4</v>
      </c>
      <c r="N74" s="46">
        <v>4</v>
      </c>
      <c r="O74" s="49">
        <f t="shared" si="7"/>
        <v>750</v>
      </c>
      <c r="P74" s="49">
        <f t="shared" si="7"/>
        <v>750</v>
      </c>
      <c r="Q74" s="49">
        <f t="shared" si="7"/>
        <v>1000</v>
      </c>
      <c r="R74" s="49">
        <f t="shared" si="7"/>
        <v>1000</v>
      </c>
      <c r="S74" s="49">
        <f t="shared" si="7"/>
        <v>1000</v>
      </c>
      <c r="T74" s="50">
        <f t="shared" si="8"/>
        <v>4500</v>
      </c>
      <c r="V74" s="88" t="s">
        <v>195</v>
      </c>
    </row>
    <row r="75" spans="2:22" ht="85.5" customHeight="1">
      <c r="B75" s="275"/>
      <c r="C75" s="275"/>
      <c r="D75" s="277"/>
      <c r="E75" s="242" t="s">
        <v>160</v>
      </c>
      <c r="F75" s="46" t="s">
        <v>170</v>
      </c>
      <c r="G75" s="47" t="s">
        <v>261</v>
      </c>
      <c r="H75" s="48"/>
      <c r="I75" s="49">
        <f>0.076*SUM(T76:T78)</f>
        <v>460027.14120000007</v>
      </c>
      <c r="J75" s="46">
        <v>0.1</v>
      </c>
      <c r="K75" s="46">
        <v>0.3</v>
      </c>
      <c r="L75" s="46">
        <v>0.3</v>
      </c>
      <c r="M75" s="46">
        <v>0.3</v>
      </c>
      <c r="N75" s="46"/>
      <c r="O75" s="49">
        <f t="shared" si="7"/>
        <v>46002.714120000011</v>
      </c>
      <c r="P75" s="49">
        <f t="shared" si="7"/>
        <v>138008.14236000003</v>
      </c>
      <c r="Q75" s="49">
        <f t="shared" si="7"/>
        <v>138008.14236000003</v>
      </c>
      <c r="R75" s="49">
        <f t="shared" si="7"/>
        <v>138008.14236000003</v>
      </c>
      <c r="S75" s="49">
        <f t="shared" si="7"/>
        <v>0</v>
      </c>
      <c r="T75" s="50">
        <f t="shared" ref="T75" si="32">SUM(O75:S75)</f>
        <v>460027.14120000007</v>
      </c>
      <c r="V75" s="88" t="s">
        <v>195</v>
      </c>
    </row>
    <row r="76" spans="2:22" ht="57">
      <c r="B76" s="275"/>
      <c r="C76" s="275"/>
      <c r="D76" s="277"/>
      <c r="E76" s="242" t="s">
        <v>160</v>
      </c>
      <c r="F76" s="46" t="s">
        <v>167</v>
      </c>
      <c r="G76" s="47" t="s">
        <v>262</v>
      </c>
      <c r="H76" s="48" t="s">
        <v>229</v>
      </c>
      <c r="I76" s="49">
        <v>6316.2000000000016</v>
      </c>
      <c r="J76" s="46"/>
      <c r="K76" s="46"/>
      <c r="L76" s="210">
        <v>526</v>
      </c>
      <c r="M76" s="46"/>
      <c r="N76" s="46"/>
      <c r="O76" s="49">
        <f t="shared" si="7"/>
        <v>0</v>
      </c>
      <c r="P76" s="49">
        <f t="shared" si="7"/>
        <v>0</v>
      </c>
      <c r="Q76" s="49">
        <f t="shared" si="7"/>
        <v>3322321.2000000007</v>
      </c>
      <c r="R76" s="49">
        <f t="shared" si="7"/>
        <v>0</v>
      </c>
      <c r="S76" s="49">
        <f t="shared" si="7"/>
        <v>0</v>
      </c>
      <c r="T76" s="55">
        <f t="shared" si="8"/>
        <v>3322321.2000000007</v>
      </c>
      <c r="V76" s="88" t="s">
        <v>195</v>
      </c>
    </row>
    <row r="77" spans="2:22">
      <c r="B77" s="275"/>
      <c r="C77" s="275"/>
      <c r="D77" s="277"/>
      <c r="E77" s="242" t="s">
        <v>160</v>
      </c>
      <c r="F77" s="46" t="s">
        <v>166</v>
      </c>
      <c r="G77" s="47" t="s">
        <v>263</v>
      </c>
      <c r="H77" s="48" t="s">
        <v>229</v>
      </c>
      <c r="I77" s="49">
        <v>1197.9000000000001</v>
      </c>
      <c r="J77" s="46"/>
      <c r="K77" s="46"/>
      <c r="L77" s="46">
        <v>1530</v>
      </c>
      <c r="M77" s="46"/>
      <c r="N77" s="46"/>
      <c r="O77" s="49">
        <f t="shared" si="7"/>
        <v>0</v>
      </c>
      <c r="P77" s="49">
        <f t="shared" si="7"/>
        <v>0</v>
      </c>
      <c r="Q77" s="49">
        <f t="shared" si="7"/>
        <v>1832787.0000000002</v>
      </c>
      <c r="R77" s="49">
        <f t="shared" si="7"/>
        <v>0</v>
      </c>
      <c r="S77" s="49">
        <f t="shared" si="7"/>
        <v>0</v>
      </c>
      <c r="T77" s="55">
        <f t="shared" ref="T77:T78" si="33">SUM(O77:S77)</f>
        <v>1832787.0000000002</v>
      </c>
      <c r="V77" s="88" t="s">
        <v>195</v>
      </c>
    </row>
    <row r="78" spans="2:22">
      <c r="B78" s="275"/>
      <c r="C78" s="275"/>
      <c r="D78" s="277"/>
      <c r="E78" s="242" t="s">
        <v>160</v>
      </c>
      <c r="F78" s="46" t="s">
        <v>166</v>
      </c>
      <c r="G78" s="47" t="s">
        <v>264</v>
      </c>
      <c r="H78" s="48" t="s">
        <v>229</v>
      </c>
      <c r="I78" s="49">
        <v>586.85</v>
      </c>
      <c r="J78" s="46"/>
      <c r="K78" s="46"/>
      <c r="L78" s="46">
        <v>1530</v>
      </c>
      <c r="M78" s="46"/>
      <c r="N78" s="46"/>
      <c r="O78" s="49">
        <f t="shared" si="7"/>
        <v>0</v>
      </c>
      <c r="P78" s="49">
        <f t="shared" si="7"/>
        <v>0</v>
      </c>
      <c r="Q78" s="49">
        <f t="shared" si="7"/>
        <v>897880.5</v>
      </c>
      <c r="R78" s="49">
        <f t="shared" si="7"/>
        <v>0</v>
      </c>
      <c r="S78" s="49">
        <f t="shared" si="7"/>
        <v>0</v>
      </c>
      <c r="T78" s="55">
        <f t="shared" si="33"/>
        <v>897880.5</v>
      </c>
      <c r="V78" s="88" t="s">
        <v>195</v>
      </c>
    </row>
    <row r="79" spans="2:22" ht="71.25">
      <c r="B79" s="275"/>
      <c r="C79" s="275"/>
      <c r="D79" s="278"/>
      <c r="E79" s="242" t="s">
        <v>160</v>
      </c>
      <c r="F79" s="46" t="s">
        <v>168</v>
      </c>
      <c r="G79" s="47" t="s">
        <v>265</v>
      </c>
      <c r="H79" s="48" t="s">
        <v>260</v>
      </c>
      <c r="I79" s="49">
        <v>300</v>
      </c>
      <c r="J79" s="46"/>
      <c r="K79" s="46">
        <v>2</v>
      </c>
      <c r="L79" s="46">
        <v>2</v>
      </c>
      <c r="M79" s="46">
        <v>2</v>
      </c>
      <c r="N79" s="46"/>
      <c r="O79" s="49">
        <f t="shared" si="7"/>
        <v>0</v>
      </c>
      <c r="P79" s="49">
        <f t="shared" si="7"/>
        <v>600</v>
      </c>
      <c r="Q79" s="49">
        <f t="shared" si="7"/>
        <v>600</v>
      </c>
      <c r="R79" s="49">
        <f t="shared" si="7"/>
        <v>600</v>
      </c>
      <c r="S79" s="49">
        <f t="shared" si="7"/>
        <v>0</v>
      </c>
      <c r="T79" s="55">
        <f t="shared" si="8"/>
        <v>1800</v>
      </c>
      <c r="V79" s="88" t="s">
        <v>248</v>
      </c>
    </row>
    <row r="80" spans="2:22" ht="42.75">
      <c r="B80" s="275"/>
      <c r="C80" s="275"/>
      <c r="D80" s="275" t="s">
        <v>266</v>
      </c>
      <c r="E80" s="242" t="s">
        <v>160</v>
      </c>
      <c r="F80" s="46" t="s">
        <v>163</v>
      </c>
      <c r="G80" s="47" t="s">
        <v>267</v>
      </c>
      <c r="H80" s="48" t="s">
        <v>194</v>
      </c>
      <c r="I80" s="49">
        <v>150</v>
      </c>
      <c r="J80" s="46">
        <v>100</v>
      </c>
      <c r="K80" s="46">
        <v>50</v>
      </c>
      <c r="L80" s="46">
        <v>50</v>
      </c>
      <c r="M80" s="46">
        <v>50</v>
      </c>
      <c r="N80" s="46">
        <v>50</v>
      </c>
      <c r="O80" s="49">
        <f t="shared" si="7"/>
        <v>15000</v>
      </c>
      <c r="P80" s="49">
        <f t="shared" si="7"/>
        <v>7500</v>
      </c>
      <c r="Q80" s="49">
        <f t="shared" si="7"/>
        <v>7500</v>
      </c>
      <c r="R80" s="49">
        <f t="shared" si="7"/>
        <v>7500</v>
      </c>
      <c r="S80" s="49">
        <f t="shared" si="7"/>
        <v>7500</v>
      </c>
      <c r="T80" s="55">
        <f t="shared" si="8"/>
        <v>45000</v>
      </c>
      <c r="V80" s="88" t="s">
        <v>195</v>
      </c>
    </row>
    <row r="81" spans="2:22" ht="28.5">
      <c r="B81" s="275"/>
      <c r="C81" s="275"/>
      <c r="D81" s="275"/>
      <c r="E81" s="242" t="s">
        <v>160</v>
      </c>
      <c r="F81" s="46" t="s">
        <v>169</v>
      </c>
      <c r="G81" s="47" t="s">
        <v>196</v>
      </c>
      <c r="H81" s="48" t="s">
        <v>197</v>
      </c>
      <c r="I81" s="49">
        <v>100</v>
      </c>
      <c r="J81" s="46">
        <v>20</v>
      </c>
      <c r="K81" s="46">
        <v>20</v>
      </c>
      <c r="L81" s="46">
        <v>20</v>
      </c>
      <c r="M81" s="46">
        <v>20</v>
      </c>
      <c r="N81" s="46">
        <v>20</v>
      </c>
      <c r="O81" s="49">
        <f t="shared" ref="O81:S81" si="34">$I81*J81</f>
        <v>2000</v>
      </c>
      <c r="P81" s="49">
        <f t="shared" si="34"/>
        <v>2000</v>
      </c>
      <c r="Q81" s="49">
        <f t="shared" si="34"/>
        <v>2000</v>
      </c>
      <c r="R81" s="49">
        <f t="shared" si="34"/>
        <v>2000</v>
      </c>
      <c r="S81" s="49">
        <f t="shared" si="34"/>
        <v>2000</v>
      </c>
      <c r="T81" s="55">
        <f t="shared" ref="T81" si="35">SUM(O81:S81)</f>
        <v>10000</v>
      </c>
      <c r="V81" s="88" t="s">
        <v>195</v>
      </c>
    </row>
    <row r="82" spans="2:22" ht="45" customHeight="1">
      <c r="B82" s="275"/>
      <c r="C82" s="275"/>
      <c r="D82" s="275"/>
      <c r="E82" s="242" t="s">
        <v>160</v>
      </c>
      <c r="F82" s="46" t="s">
        <v>165</v>
      </c>
      <c r="G82" s="47" t="s">
        <v>268</v>
      </c>
      <c r="H82" s="48" t="s">
        <v>194</v>
      </c>
      <c r="I82" s="49">
        <v>950</v>
      </c>
      <c r="J82" s="46">
        <v>20</v>
      </c>
      <c r="K82" s="46">
        <v>20</v>
      </c>
      <c r="L82" s="46">
        <v>10</v>
      </c>
      <c r="M82" s="46">
        <v>10</v>
      </c>
      <c r="N82" s="46">
        <v>20</v>
      </c>
      <c r="O82" s="49">
        <f t="shared" si="7"/>
        <v>19000</v>
      </c>
      <c r="P82" s="49">
        <f t="shared" si="7"/>
        <v>19000</v>
      </c>
      <c r="Q82" s="49">
        <f t="shared" si="7"/>
        <v>9500</v>
      </c>
      <c r="R82" s="49">
        <f t="shared" si="7"/>
        <v>9500</v>
      </c>
      <c r="S82" s="49">
        <f t="shared" si="7"/>
        <v>19000</v>
      </c>
      <c r="T82" s="55">
        <f t="shared" si="8"/>
        <v>76000</v>
      </c>
      <c r="V82" s="88" t="s">
        <v>195</v>
      </c>
    </row>
    <row r="83" spans="2:22" ht="36" customHeight="1">
      <c r="B83" s="275"/>
      <c r="C83" s="275"/>
      <c r="D83" s="275"/>
      <c r="E83" s="242" t="s">
        <v>160</v>
      </c>
      <c r="F83" s="46" t="s">
        <v>169</v>
      </c>
      <c r="G83" s="47" t="s">
        <v>199</v>
      </c>
      <c r="H83" s="48" t="s">
        <v>200</v>
      </c>
      <c r="I83" s="49">
        <v>1700</v>
      </c>
      <c r="J83" s="46">
        <v>1</v>
      </c>
      <c r="K83" s="46">
        <v>1</v>
      </c>
      <c r="L83" s="46"/>
      <c r="M83" s="46"/>
      <c r="N83" s="46">
        <v>1</v>
      </c>
      <c r="O83" s="49">
        <f t="shared" si="7"/>
        <v>1700</v>
      </c>
      <c r="P83" s="49">
        <f t="shared" si="7"/>
        <v>1700</v>
      </c>
      <c r="Q83" s="49">
        <f t="shared" si="7"/>
        <v>0</v>
      </c>
      <c r="R83" s="49">
        <f t="shared" si="7"/>
        <v>0</v>
      </c>
      <c r="S83" s="49">
        <f t="shared" si="7"/>
        <v>1700</v>
      </c>
      <c r="T83" s="55">
        <f t="shared" si="8"/>
        <v>5100</v>
      </c>
      <c r="V83" s="88" t="s">
        <v>195</v>
      </c>
    </row>
    <row r="84" spans="2:22" ht="36" customHeight="1">
      <c r="B84" s="275"/>
      <c r="C84" s="275"/>
      <c r="D84" s="275"/>
      <c r="E84" s="242" t="s">
        <v>160</v>
      </c>
      <c r="F84" s="46" t="s">
        <v>169</v>
      </c>
      <c r="G84" s="47" t="s">
        <v>201</v>
      </c>
      <c r="H84" s="48" t="s">
        <v>202</v>
      </c>
      <c r="I84" s="49">
        <v>200</v>
      </c>
      <c r="J84" s="46">
        <f>J83*7</f>
        <v>7</v>
      </c>
      <c r="K84" s="46">
        <f t="shared" ref="K84:N84" si="36">K83*7</f>
        <v>7</v>
      </c>
      <c r="L84" s="46">
        <f t="shared" si="36"/>
        <v>0</v>
      </c>
      <c r="M84" s="46">
        <f t="shared" si="36"/>
        <v>0</v>
      </c>
      <c r="N84" s="46">
        <f t="shared" si="36"/>
        <v>7</v>
      </c>
      <c r="O84" s="49">
        <f t="shared" si="7"/>
        <v>1400</v>
      </c>
      <c r="P84" s="49">
        <f t="shared" si="7"/>
        <v>1400</v>
      </c>
      <c r="Q84" s="49">
        <f t="shared" si="7"/>
        <v>0</v>
      </c>
      <c r="R84" s="49">
        <f t="shared" si="7"/>
        <v>0</v>
      </c>
      <c r="S84" s="49">
        <f t="shared" si="7"/>
        <v>1400</v>
      </c>
      <c r="T84" s="55">
        <f t="shared" si="8"/>
        <v>4200</v>
      </c>
      <c r="V84" s="88" t="s">
        <v>203</v>
      </c>
    </row>
    <row r="85" spans="2:22" ht="36" customHeight="1">
      <c r="B85" s="275"/>
      <c r="C85" s="275"/>
      <c r="D85" s="275"/>
      <c r="E85" s="242" t="s">
        <v>160</v>
      </c>
      <c r="F85" s="46" t="s">
        <v>163</v>
      </c>
      <c r="G85" s="47" t="s">
        <v>269</v>
      </c>
      <c r="H85" s="48" t="s">
        <v>270</v>
      </c>
      <c r="I85" s="49">
        <v>50</v>
      </c>
      <c r="J85" s="46">
        <v>20</v>
      </c>
      <c r="K85" s="46">
        <v>100</v>
      </c>
      <c r="L85" s="46">
        <v>100</v>
      </c>
      <c r="M85" s="46">
        <v>50</v>
      </c>
      <c r="N85" s="46">
        <v>50</v>
      </c>
      <c r="O85" s="49">
        <f t="shared" ref="O85" si="37">$I85*J85</f>
        <v>1000</v>
      </c>
      <c r="P85" s="49">
        <f t="shared" ref="P85" si="38">$I85*K85</f>
        <v>5000</v>
      </c>
      <c r="Q85" s="49">
        <f t="shared" ref="Q85" si="39">$I85*L85</f>
        <v>5000</v>
      </c>
      <c r="R85" s="49">
        <f t="shared" ref="R85" si="40">$I85*M85</f>
        <v>2500</v>
      </c>
      <c r="S85" s="49">
        <f t="shared" ref="S85" si="41">$I85*N85</f>
        <v>2500</v>
      </c>
      <c r="T85" s="55">
        <f t="shared" ref="T85" si="42">SUM(O85:S85)</f>
        <v>16000</v>
      </c>
      <c r="V85" s="88" t="s">
        <v>195</v>
      </c>
    </row>
    <row r="86" spans="2:22" ht="101.25" customHeight="1">
      <c r="B86" s="275"/>
      <c r="C86" s="275"/>
      <c r="D86" s="275"/>
      <c r="E86" s="242" t="s">
        <v>160</v>
      </c>
      <c r="F86" s="46" t="s">
        <v>170</v>
      </c>
      <c r="G86" s="47" t="s">
        <v>271</v>
      </c>
      <c r="H86" s="48" t="s">
        <v>205</v>
      </c>
      <c r="I86" s="49">
        <f>0.115*SUM(T87:T88)</f>
        <v>15062.987500000003</v>
      </c>
      <c r="J86" s="46"/>
      <c r="K86" s="46">
        <v>1</v>
      </c>
      <c r="L86" s="46"/>
      <c r="M86" s="46"/>
      <c r="N86" s="46"/>
      <c r="O86" s="49">
        <f t="shared" si="7"/>
        <v>0</v>
      </c>
      <c r="P86" s="49">
        <f t="shared" si="7"/>
        <v>15062.987500000003</v>
      </c>
      <c r="Q86" s="49">
        <f t="shared" si="7"/>
        <v>0</v>
      </c>
      <c r="R86" s="49">
        <f t="shared" si="7"/>
        <v>0</v>
      </c>
      <c r="S86" s="49">
        <f t="shared" si="7"/>
        <v>0</v>
      </c>
      <c r="T86" s="55">
        <f t="shared" si="8"/>
        <v>15062.987500000003</v>
      </c>
      <c r="V86" s="88" t="s">
        <v>195</v>
      </c>
    </row>
    <row r="87" spans="2:22" ht="128.25">
      <c r="B87" s="275"/>
      <c r="C87" s="275"/>
      <c r="D87" s="275"/>
      <c r="E87" s="242" t="s">
        <v>160</v>
      </c>
      <c r="F87" s="46" t="s">
        <v>167</v>
      </c>
      <c r="G87" s="47" t="s">
        <v>272</v>
      </c>
      <c r="H87" s="48" t="s">
        <v>273</v>
      </c>
      <c r="I87" s="49">
        <v>15125</v>
      </c>
      <c r="J87" s="46"/>
      <c r="K87" s="46">
        <v>2</v>
      </c>
      <c r="L87" s="46"/>
      <c r="M87" s="46"/>
      <c r="N87" s="46"/>
      <c r="O87" s="49">
        <f t="shared" si="7"/>
        <v>0</v>
      </c>
      <c r="P87" s="49">
        <f t="shared" si="7"/>
        <v>30250</v>
      </c>
      <c r="Q87" s="49">
        <f t="shared" si="7"/>
        <v>0</v>
      </c>
      <c r="R87" s="49">
        <f t="shared" si="7"/>
        <v>0</v>
      </c>
      <c r="S87" s="49">
        <f t="shared" si="7"/>
        <v>0</v>
      </c>
      <c r="T87" s="55">
        <f t="shared" si="8"/>
        <v>30250</v>
      </c>
      <c r="V87" s="88" t="s">
        <v>195</v>
      </c>
    </row>
    <row r="88" spans="2:22" ht="24" customHeight="1">
      <c r="B88" s="275"/>
      <c r="C88" s="275"/>
      <c r="D88" s="275"/>
      <c r="E88" s="242" t="s">
        <v>160</v>
      </c>
      <c r="F88" s="46" t="s">
        <v>167</v>
      </c>
      <c r="G88" s="47" t="s">
        <v>274</v>
      </c>
      <c r="H88" s="48" t="s">
        <v>207</v>
      </c>
      <c r="I88" s="49">
        <v>181.50000000000003</v>
      </c>
      <c r="J88" s="46"/>
      <c r="K88" s="46"/>
      <c r="L88" s="46">
        <v>555</v>
      </c>
      <c r="M88" s="46"/>
      <c r="N88" s="46"/>
      <c r="O88" s="49">
        <f t="shared" ref="O88:S123" si="43">$I88*J88</f>
        <v>0</v>
      </c>
      <c r="P88" s="49">
        <f t="shared" si="43"/>
        <v>0</v>
      </c>
      <c r="Q88" s="49">
        <f t="shared" si="43"/>
        <v>100732.50000000001</v>
      </c>
      <c r="R88" s="49">
        <f t="shared" si="43"/>
        <v>0</v>
      </c>
      <c r="S88" s="49">
        <f t="shared" si="43"/>
        <v>0</v>
      </c>
      <c r="T88" s="55">
        <f t="shared" si="8"/>
        <v>100732.50000000001</v>
      </c>
      <c r="V88" s="88" t="s">
        <v>195</v>
      </c>
    </row>
    <row r="89" spans="2:22" ht="71.25">
      <c r="B89" s="275"/>
      <c r="C89" s="275"/>
      <c r="D89" s="275"/>
      <c r="E89" s="242" t="s">
        <v>160</v>
      </c>
      <c r="F89" s="46" t="s">
        <v>168</v>
      </c>
      <c r="G89" s="47" t="s">
        <v>275</v>
      </c>
      <c r="H89" s="48" t="s">
        <v>260</v>
      </c>
      <c r="I89" s="49">
        <v>400</v>
      </c>
      <c r="J89" s="46">
        <v>2</v>
      </c>
      <c r="K89" s="46">
        <v>2</v>
      </c>
      <c r="L89" s="46">
        <v>2</v>
      </c>
      <c r="M89" s="46">
        <v>2</v>
      </c>
      <c r="N89" s="46">
        <v>2</v>
      </c>
      <c r="O89" s="49">
        <f t="shared" si="43"/>
        <v>800</v>
      </c>
      <c r="P89" s="49">
        <f t="shared" si="43"/>
        <v>800</v>
      </c>
      <c r="Q89" s="49">
        <f t="shared" si="43"/>
        <v>800</v>
      </c>
      <c r="R89" s="49">
        <f t="shared" si="43"/>
        <v>800</v>
      </c>
      <c r="S89" s="49">
        <f t="shared" si="43"/>
        <v>800</v>
      </c>
      <c r="T89" s="55">
        <f t="shared" si="8"/>
        <v>4000</v>
      </c>
      <c r="V89" s="88" t="s">
        <v>248</v>
      </c>
    </row>
    <row r="90" spans="2:22" ht="71.25">
      <c r="B90" s="275"/>
      <c r="C90" s="275"/>
      <c r="D90" s="275"/>
      <c r="E90" s="242" t="s">
        <v>160</v>
      </c>
      <c r="F90" s="46" t="s">
        <v>168</v>
      </c>
      <c r="G90" s="47" t="s">
        <v>276</v>
      </c>
      <c r="H90" s="48" t="s">
        <v>277</v>
      </c>
      <c r="I90" s="49">
        <v>500</v>
      </c>
      <c r="J90" s="46">
        <v>1</v>
      </c>
      <c r="K90" s="46">
        <v>1</v>
      </c>
      <c r="L90" s="46">
        <v>1</v>
      </c>
      <c r="M90" s="46">
        <v>1</v>
      </c>
      <c r="N90" s="46">
        <v>1</v>
      </c>
      <c r="O90" s="49">
        <f t="shared" si="43"/>
        <v>500</v>
      </c>
      <c r="P90" s="49">
        <f t="shared" si="43"/>
        <v>500</v>
      </c>
      <c r="Q90" s="49">
        <f t="shared" si="43"/>
        <v>500</v>
      </c>
      <c r="R90" s="49">
        <f t="shared" si="43"/>
        <v>500</v>
      </c>
      <c r="S90" s="49">
        <f t="shared" si="43"/>
        <v>500</v>
      </c>
      <c r="T90" s="50">
        <f t="shared" si="8"/>
        <v>2500</v>
      </c>
      <c r="V90" s="88" t="s">
        <v>248</v>
      </c>
    </row>
    <row r="91" spans="2:22" ht="30" customHeight="1">
      <c r="B91" s="275"/>
      <c r="C91" s="275"/>
      <c r="D91" s="275" t="s">
        <v>278</v>
      </c>
      <c r="E91" s="242" t="s">
        <v>160</v>
      </c>
      <c r="F91" s="46" t="s">
        <v>163</v>
      </c>
      <c r="G91" s="47" t="s">
        <v>279</v>
      </c>
      <c r="H91" s="48" t="s">
        <v>194</v>
      </c>
      <c r="I91" s="49">
        <v>150</v>
      </c>
      <c r="J91" s="46">
        <v>150</v>
      </c>
      <c r="K91" s="46">
        <v>250</v>
      </c>
      <c r="L91" s="46">
        <v>250</v>
      </c>
      <c r="M91" s="46">
        <v>250</v>
      </c>
      <c r="N91" s="46">
        <v>250</v>
      </c>
      <c r="O91" s="49">
        <f t="shared" si="43"/>
        <v>22500</v>
      </c>
      <c r="P91" s="49">
        <f t="shared" si="43"/>
        <v>37500</v>
      </c>
      <c r="Q91" s="49">
        <f t="shared" si="43"/>
        <v>37500</v>
      </c>
      <c r="R91" s="49">
        <f t="shared" si="43"/>
        <v>37500</v>
      </c>
      <c r="S91" s="49">
        <f t="shared" si="43"/>
        <v>37500</v>
      </c>
      <c r="T91" s="55">
        <f t="shared" si="8"/>
        <v>172500</v>
      </c>
      <c r="V91" s="88" t="s">
        <v>248</v>
      </c>
    </row>
    <row r="92" spans="2:22" ht="30" customHeight="1">
      <c r="B92" s="275"/>
      <c r="C92" s="275"/>
      <c r="D92" s="275"/>
      <c r="E92" s="242" t="s">
        <v>160</v>
      </c>
      <c r="F92" s="46" t="s">
        <v>169</v>
      </c>
      <c r="G92" s="47" t="s">
        <v>196</v>
      </c>
      <c r="H92" s="48" t="s">
        <v>197</v>
      </c>
      <c r="I92" s="49">
        <v>100</v>
      </c>
      <c r="J92" s="46">
        <v>40</v>
      </c>
      <c r="K92" s="46">
        <v>40</v>
      </c>
      <c r="L92" s="46">
        <v>40</v>
      </c>
      <c r="M92" s="46">
        <v>40</v>
      </c>
      <c r="N92" s="46">
        <v>40</v>
      </c>
      <c r="O92" s="49">
        <f t="shared" ref="O92" si="44">$I92*J92</f>
        <v>4000</v>
      </c>
      <c r="P92" s="49">
        <f t="shared" ref="P92" si="45">$I92*K92</f>
        <v>4000</v>
      </c>
      <c r="Q92" s="49">
        <f t="shared" ref="Q92" si="46">$I92*L92</f>
        <v>4000</v>
      </c>
      <c r="R92" s="49">
        <f t="shared" ref="R92" si="47">$I92*M92</f>
        <v>4000</v>
      </c>
      <c r="S92" s="49">
        <f t="shared" ref="S92" si="48">$I92*N92</f>
        <v>4000</v>
      </c>
      <c r="T92" s="55">
        <f t="shared" ref="T92" si="49">SUM(O92:S92)</f>
        <v>20000</v>
      </c>
      <c r="V92" s="88" t="s">
        <v>195</v>
      </c>
    </row>
    <row r="93" spans="2:22" ht="45" customHeight="1">
      <c r="B93" s="275"/>
      <c r="C93" s="275"/>
      <c r="D93" s="275"/>
      <c r="E93" s="242" t="s">
        <v>160</v>
      </c>
      <c r="F93" s="46" t="s">
        <v>165</v>
      </c>
      <c r="G93" s="47" t="s">
        <v>280</v>
      </c>
      <c r="H93" s="48" t="s">
        <v>194</v>
      </c>
      <c r="I93" s="49">
        <v>950</v>
      </c>
      <c r="J93" s="46">
        <v>20</v>
      </c>
      <c r="K93" s="46">
        <v>20</v>
      </c>
      <c r="L93" s="46">
        <v>10</v>
      </c>
      <c r="M93" s="46">
        <v>10</v>
      </c>
      <c r="N93" s="46">
        <v>20</v>
      </c>
      <c r="O93" s="49">
        <f t="shared" si="43"/>
        <v>19000</v>
      </c>
      <c r="P93" s="49">
        <f t="shared" si="43"/>
        <v>19000</v>
      </c>
      <c r="Q93" s="49">
        <f t="shared" si="43"/>
        <v>9500</v>
      </c>
      <c r="R93" s="49">
        <f t="shared" si="43"/>
        <v>9500</v>
      </c>
      <c r="S93" s="49">
        <f t="shared" si="43"/>
        <v>19000</v>
      </c>
      <c r="T93" s="55">
        <f t="shared" ref="T93:T95" si="50">SUM(O93:S93)</f>
        <v>76000</v>
      </c>
      <c r="V93" s="88" t="s">
        <v>195</v>
      </c>
    </row>
    <row r="94" spans="2:22" ht="36" customHeight="1">
      <c r="B94" s="275"/>
      <c r="C94" s="275"/>
      <c r="D94" s="275"/>
      <c r="E94" s="242" t="s">
        <v>160</v>
      </c>
      <c r="F94" s="46" t="s">
        <v>169</v>
      </c>
      <c r="G94" s="47" t="s">
        <v>199</v>
      </c>
      <c r="H94" s="48" t="s">
        <v>200</v>
      </c>
      <c r="I94" s="49">
        <v>1700</v>
      </c>
      <c r="J94" s="46">
        <v>1</v>
      </c>
      <c r="K94" s="46">
        <v>1</v>
      </c>
      <c r="L94" s="46"/>
      <c r="M94" s="46"/>
      <c r="N94" s="46">
        <v>1</v>
      </c>
      <c r="O94" s="49">
        <f t="shared" si="43"/>
        <v>1700</v>
      </c>
      <c r="P94" s="49">
        <f t="shared" si="43"/>
        <v>1700</v>
      </c>
      <c r="Q94" s="49">
        <f t="shared" si="43"/>
        <v>0</v>
      </c>
      <c r="R94" s="49">
        <f t="shared" si="43"/>
        <v>0</v>
      </c>
      <c r="S94" s="49">
        <f t="shared" si="43"/>
        <v>1700</v>
      </c>
      <c r="T94" s="55">
        <f t="shared" si="50"/>
        <v>5100</v>
      </c>
      <c r="V94" s="88" t="s">
        <v>195</v>
      </c>
    </row>
    <row r="95" spans="2:22" ht="36" customHeight="1">
      <c r="B95" s="275"/>
      <c r="C95" s="275"/>
      <c r="D95" s="275"/>
      <c r="E95" s="242" t="s">
        <v>160</v>
      </c>
      <c r="F95" s="46" t="s">
        <v>169</v>
      </c>
      <c r="G95" s="47" t="s">
        <v>201</v>
      </c>
      <c r="H95" s="48" t="s">
        <v>202</v>
      </c>
      <c r="I95" s="49">
        <v>200</v>
      </c>
      <c r="J95" s="46">
        <f>J94*7</f>
        <v>7</v>
      </c>
      <c r="K95" s="46">
        <f t="shared" ref="K95:N95" si="51">K94*7</f>
        <v>7</v>
      </c>
      <c r="L95" s="46">
        <f t="shared" si="51"/>
        <v>0</v>
      </c>
      <c r="M95" s="46">
        <f t="shared" si="51"/>
        <v>0</v>
      </c>
      <c r="N95" s="46">
        <f t="shared" si="51"/>
        <v>7</v>
      </c>
      <c r="O95" s="49">
        <f t="shared" si="43"/>
        <v>1400</v>
      </c>
      <c r="P95" s="49">
        <f t="shared" si="43"/>
        <v>1400</v>
      </c>
      <c r="Q95" s="49">
        <f t="shared" si="43"/>
        <v>0</v>
      </c>
      <c r="R95" s="49">
        <f t="shared" si="43"/>
        <v>0</v>
      </c>
      <c r="S95" s="49">
        <f t="shared" si="43"/>
        <v>1400</v>
      </c>
      <c r="T95" s="55">
        <f t="shared" si="50"/>
        <v>4200</v>
      </c>
      <c r="V95" s="88" t="s">
        <v>203</v>
      </c>
    </row>
    <row r="96" spans="2:22" ht="78.75" customHeight="1">
      <c r="B96" s="275"/>
      <c r="C96" s="275"/>
      <c r="D96" s="275"/>
      <c r="E96" s="242" t="s">
        <v>160</v>
      </c>
      <c r="F96" s="46" t="s">
        <v>170</v>
      </c>
      <c r="G96" s="47" t="s">
        <v>281</v>
      </c>
      <c r="H96" s="48" t="s">
        <v>205</v>
      </c>
      <c r="I96" s="49">
        <f>0.115*SUM(T98:T99)</f>
        <v>58164.700000000004</v>
      </c>
      <c r="J96" s="46"/>
      <c r="K96" s="46">
        <v>0.5</v>
      </c>
      <c r="L96" s="46">
        <v>0.5</v>
      </c>
      <c r="M96" s="46"/>
      <c r="N96" s="46"/>
      <c r="O96" s="49">
        <f t="shared" si="43"/>
        <v>0</v>
      </c>
      <c r="P96" s="49">
        <f t="shared" si="43"/>
        <v>29082.350000000002</v>
      </c>
      <c r="Q96" s="49">
        <f t="shared" si="43"/>
        <v>29082.350000000002</v>
      </c>
      <c r="R96" s="49">
        <f t="shared" si="43"/>
        <v>0</v>
      </c>
      <c r="S96" s="49">
        <f t="shared" si="43"/>
        <v>0</v>
      </c>
      <c r="T96" s="55">
        <f t="shared" si="8"/>
        <v>58164.700000000004</v>
      </c>
      <c r="V96" s="88" t="s">
        <v>195</v>
      </c>
    </row>
    <row r="97" spans="2:23" ht="99.75">
      <c r="B97" s="275"/>
      <c r="C97" s="275"/>
      <c r="D97" s="275"/>
      <c r="E97" s="242" t="s">
        <v>160</v>
      </c>
      <c r="F97" s="46" t="s">
        <v>170</v>
      </c>
      <c r="G97" s="47" t="s">
        <v>282</v>
      </c>
      <c r="H97" s="48" t="s">
        <v>205</v>
      </c>
      <c r="I97" s="49">
        <f>0.115*SUM(T100:T105)</f>
        <v>8812.3695000000025</v>
      </c>
      <c r="J97" s="46"/>
      <c r="K97" s="46">
        <v>1</v>
      </c>
      <c r="L97" s="46"/>
      <c r="M97" s="46"/>
      <c r="N97" s="46"/>
      <c r="O97" s="49">
        <f t="shared" si="43"/>
        <v>0</v>
      </c>
      <c r="P97" s="49">
        <f t="shared" si="43"/>
        <v>8812.3695000000025</v>
      </c>
      <c r="Q97" s="49">
        <f t="shared" si="43"/>
        <v>0</v>
      </c>
      <c r="R97" s="49">
        <f t="shared" si="43"/>
        <v>0</v>
      </c>
      <c r="S97" s="49">
        <f t="shared" si="43"/>
        <v>0</v>
      </c>
      <c r="T97" s="55">
        <f t="shared" si="8"/>
        <v>8812.3695000000025</v>
      </c>
      <c r="V97" s="88" t="s">
        <v>195</v>
      </c>
    </row>
    <row r="98" spans="2:23">
      <c r="B98" s="275"/>
      <c r="C98" s="275"/>
      <c r="D98" s="275"/>
      <c r="E98" s="242" t="s">
        <v>160</v>
      </c>
      <c r="F98" s="46" t="s">
        <v>167</v>
      </c>
      <c r="G98" s="47" t="s">
        <v>283</v>
      </c>
      <c r="H98" s="48" t="s">
        <v>207</v>
      </c>
      <c r="I98" s="49">
        <v>605</v>
      </c>
      <c r="J98" s="46"/>
      <c r="K98" s="46"/>
      <c r="L98" s="46">
        <v>800</v>
      </c>
      <c r="M98" s="46"/>
      <c r="N98" s="46"/>
      <c r="O98" s="49">
        <f t="shared" si="43"/>
        <v>0</v>
      </c>
      <c r="P98" s="49">
        <f t="shared" si="43"/>
        <v>0</v>
      </c>
      <c r="Q98" s="49">
        <f t="shared" si="43"/>
        <v>484000</v>
      </c>
      <c r="R98" s="49">
        <f t="shared" si="43"/>
        <v>0</v>
      </c>
      <c r="S98" s="49">
        <f t="shared" si="43"/>
        <v>0</v>
      </c>
      <c r="T98" s="55">
        <f t="shared" ref="T98:T104" si="52">SUM(O98:S98)</f>
        <v>484000</v>
      </c>
      <c r="V98" s="88" t="s">
        <v>195</v>
      </c>
    </row>
    <row r="99" spans="2:23" ht="28.5">
      <c r="B99" s="275"/>
      <c r="C99" s="275"/>
      <c r="D99" s="275"/>
      <c r="E99" s="242" t="s">
        <v>160</v>
      </c>
      <c r="F99" s="46" t="s">
        <v>166</v>
      </c>
      <c r="G99" s="47" t="s">
        <v>284</v>
      </c>
      <c r="H99" s="48" t="s">
        <v>229</v>
      </c>
      <c r="I99" s="49">
        <v>21780</v>
      </c>
      <c r="J99" s="46"/>
      <c r="K99" s="46"/>
      <c r="L99" s="46"/>
      <c r="M99" s="46">
        <v>1</v>
      </c>
      <c r="N99" s="46"/>
      <c r="O99" s="49">
        <f t="shared" si="43"/>
        <v>0</v>
      </c>
      <c r="P99" s="49">
        <f t="shared" si="43"/>
        <v>0</v>
      </c>
      <c r="Q99" s="49">
        <f t="shared" si="43"/>
        <v>0</v>
      </c>
      <c r="R99" s="49">
        <f t="shared" si="43"/>
        <v>21780</v>
      </c>
      <c r="S99" s="49">
        <f t="shared" si="43"/>
        <v>0</v>
      </c>
      <c r="T99" s="55">
        <f t="shared" si="52"/>
        <v>21780</v>
      </c>
      <c r="V99" s="88" t="s">
        <v>195</v>
      </c>
    </row>
    <row r="100" spans="2:23" ht="73.349999999999994" customHeight="1">
      <c r="B100" s="275"/>
      <c r="C100" s="275"/>
      <c r="D100" s="275"/>
      <c r="E100" s="242" t="s">
        <v>160</v>
      </c>
      <c r="F100" s="46" t="s">
        <v>167</v>
      </c>
      <c r="G100" s="47" t="s">
        <v>285</v>
      </c>
      <c r="H100" s="48" t="s">
        <v>207</v>
      </c>
      <c r="I100" s="49">
        <v>60.500000000000014</v>
      </c>
      <c r="J100" s="46"/>
      <c r="K100" s="46"/>
      <c r="L100" s="46">
        <v>160</v>
      </c>
      <c r="M100" s="46"/>
      <c r="N100" s="46"/>
      <c r="O100" s="49">
        <f t="shared" si="43"/>
        <v>0</v>
      </c>
      <c r="P100" s="49">
        <f t="shared" si="43"/>
        <v>0</v>
      </c>
      <c r="Q100" s="49">
        <f t="shared" si="43"/>
        <v>9680.0000000000018</v>
      </c>
      <c r="R100" s="49">
        <f t="shared" si="43"/>
        <v>0</v>
      </c>
      <c r="S100" s="49">
        <f t="shared" si="43"/>
        <v>0</v>
      </c>
      <c r="T100" s="55">
        <f t="shared" si="52"/>
        <v>9680.0000000000018</v>
      </c>
      <c r="V100" s="88" t="s">
        <v>195</v>
      </c>
    </row>
    <row r="101" spans="2:23" ht="60" customHeight="1">
      <c r="B101" s="275"/>
      <c r="C101" s="275"/>
      <c r="D101" s="275"/>
      <c r="E101" s="242" t="s">
        <v>160</v>
      </c>
      <c r="F101" s="46" t="s">
        <v>167</v>
      </c>
      <c r="G101" s="47" t="s">
        <v>286</v>
      </c>
      <c r="H101" s="48" t="s">
        <v>229</v>
      </c>
      <c r="I101" s="49">
        <v>605</v>
      </c>
      <c r="J101" s="46"/>
      <c r="K101" s="46"/>
      <c r="L101" s="46">
        <v>8</v>
      </c>
      <c r="M101" s="46"/>
      <c r="N101" s="46"/>
      <c r="O101" s="49">
        <f t="shared" si="43"/>
        <v>0</v>
      </c>
      <c r="P101" s="49">
        <f t="shared" si="43"/>
        <v>0</v>
      </c>
      <c r="Q101" s="49">
        <f t="shared" si="43"/>
        <v>4840</v>
      </c>
      <c r="R101" s="49">
        <f t="shared" si="43"/>
        <v>0</v>
      </c>
      <c r="S101" s="49">
        <f t="shared" si="43"/>
        <v>0</v>
      </c>
      <c r="T101" s="55">
        <f t="shared" si="52"/>
        <v>4840</v>
      </c>
      <c r="V101" s="88" t="s">
        <v>195</v>
      </c>
    </row>
    <row r="102" spans="2:23" ht="30" customHeight="1">
      <c r="B102" s="275"/>
      <c r="C102" s="275"/>
      <c r="D102" s="275"/>
      <c r="E102" s="242" t="s">
        <v>160</v>
      </c>
      <c r="F102" s="46" t="s">
        <v>167</v>
      </c>
      <c r="G102" s="47" t="s">
        <v>287</v>
      </c>
      <c r="H102" s="48" t="s">
        <v>229</v>
      </c>
      <c r="I102" s="49">
        <v>54.45000000000001</v>
      </c>
      <c r="J102" s="46"/>
      <c r="K102" s="46"/>
      <c r="L102" s="46">
        <v>10</v>
      </c>
      <c r="M102" s="46"/>
      <c r="N102" s="46"/>
      <c r="O102" s="49">
        <f t="shared" si="43"/>
        <v>0</v>
      </c>
      <c r="P102" s="49">
        <f t="shared" si="43"/>
        <v>0</v>
      </c>
      <c r="Q102" s="49">
        <f t="shared" si="43"/>
        <v>544.50000000000011</v>
      </c>
      <c r="R102" s="49">
        <f t="shared" si="43"/>
        <v>0</v>
      </c>
      <c r="S102" s="49">
        <f t="shared" si="43"/>
        <v>0</v>
      </c>
      <c r="T102" s="55">
        <f t="shared" si="52"/>
        <v>544.50000000000011</v>
      </c>
      <c r="V102" s="88" t="s">
        <v>195</v>
      </c>
    </row>
    <row r="103" spans="2:23" ht="47.45" customHeight="1">
      <c r="B103" s="275"/>
      <c r="C103" s="275"/>
      <c r="D103" s="275"/>
      <c r="E103" s="242" t="s">
        <v>160</v>
      </c>
      <c r="F103" s="46" t="s">
        <v>167</v>
      </c>
      <c r="G103" s="47" t="s">
        <v>288</v>
      </c>
      <c r="H103" s="48" t="s">
        <v>229</v>
      </c>
      <c r="I103" s="49">
        <v>6751.8000000000011</v>
      </c>
      <c r="J103" s="46"/>
      <c r="K103" s="46"/>
      <c r="L103" s="46">
        <v>1</v>
      </c>
      <c r="M103" s="46"/>
      <c r="N103" s="46"/>
      <c r="O103" s="49">
        <f t="shared" si="43"/>
        <v>0</v>
      </c>
      <c r="P103" s="49">
        <f t="shared" si="43"/>
        <v>0</v>
      </c>
      <c r="Q103" s="49">
        <f t="shared" si="43"/>
        <v>6751.8000000000011</v>
      </c>
      <c r="R103" s="49">
        <f t="shared" si="43"/>
        <v>0</v>
      </c>
      <c r="S103" s="49">
        <f t="shared" si="43"/>
        <v>0</v>
      </c>
      <c r="T103" s="55">
        <f t="shared" si="52"/>
        <v>6751.8000000000011</v>
      </c>
      <c r="V103" s="88" t="s">
        <v>195</v>
      </c>
    </row>
    <row r="104" spans="2:23" ht="51" customHeight="1">
      <c r="B104" s="275"/>
      <c r="C104" s="275"/>
      <c r="D104" s="275"/>
      <c r="E104" s="242" t="s">
        <v>160</v>
      </c>
      <c r="F104" s="46" t="s">
        <v>167</v>
      </c>
      <c r="G104" s="47" t="s">
        <v>289</v>
      </c>
      <c r="H104" s="48" t="s">
        <v>207</v>
      </c>
      <c r="I104" s="54">
        <v>6.9575000000000005</v>
      </c>
      <c r="J104" s="46"/>
      <c r="K104" s="46"/>
      <c r="L104" s="46">
        <v>1200</v>
      </c>
      <c r="M104" s="46"/>
      <c r="N104" s="46"/>
      <c r="O104" s="49">
        <f t="shared" si="43"/>
        <v>0</v>
      </c>
      <c r="P104" s="49">
        <f t="shared" si="43"/>
        <v>0</v>
      </c>
      <c r="Q104" s="49">
        <f t="shared" si="43"/>
        <v>8349</v>
      </c>
      <c r="R104" s="49">
        <f t="shared" si="43"/>
        <v>0</v>
      </c>
      <c r="S104" s="49">
        <f t="shared" si="43"/>
        <v>0</v>
      </c>
      <c r="T104" s="55">
        <f t="shared" si="52"/>
        <v>8349</v>
      </c>
      <c r="V104" s="88" t="s">
        <v>195</v>
      </c>
    </row>
    <row r="105" spans="2:23" ht="48" customHeight="1">
      <c r="B105" s="275"/>
      <c r="C105" s="275"/>
      <c r="D105" s="275"/>
      <c r="E105" s="242" t="s">
        <v>160</v>
      </c>
      <c r="F105" s="46" t="s">
        <v>167</v>
      </c>
      <c r="G105" s="47" t="s">
        <v>290</v>
      </c>
      <c r="H105" s="48" t="s">
        <v>207</v>
      </c>
      <c r="I105" s="49">
        <v>58.080000000000013</v>
      </c>
      <c r="J105" s="46"/>
      <c r="K105" s="46"/>
      <c r="L105" s="46">
        <v>800</v>
      </c>
      <c r="M105" s="46"/>
      <c r="N105" s="46"/>
      <c r="O105" s="49">
        <f t="shared" si="43"/>
        <v>0</v>
      </c>
      <c r="P105" s="49">
        <f t="shared" si="43"/>
        <v>0</v>
      </c>
      <c r="Q105" s="49">
        <f t="shared" si="43"/>
        <v>46464.000000000007</v>
      </c>
      <c r="R105" s="49">
        <f t="shared" si="43"/>
        <v>0</v>
      </c>
      <c r="S105" s="49">
        <f t="shared" si="43"/>
        <v>0</v>
      </c>
      <c r="T105" s="55">
        <f t="shared" si="8"/>
        <v>46464.000000000007</v>
      </c>
      <c r="V105" s="88" t="s">
        <v>195</v>
      </c>
    </row>
    <row r="106" spans="2:23" ht="99.75">
      <c r="B106" s="275"/>
      <c r="C106" s="275" t="s">
        <v>291</v>
      </c>
      <c r="D106" s="275" t="s">
        <v>292</v>
      </c>
      <c r="E106" s="242" t="s">
        <v>160</v>
      </c>
      <c r="F106" s="46" t="s">
        <v>168</v>
      </c>
      <c r="G106" s="47" t="s">
        <v>293</v>
      </c>
      <c r="H106" s="48" t="s">
        <v>260</v>
      </c>
      <c r="I106" s="49">
        <v>200</v>
      </c>
      <c r="J106" s="46">
        <v>4</v>
      </c>
      <c r="K106" s="46">
        <v>6</v>
      </c>
      <c r="L106" s="46">
        <v>6</v>
      </c>
      <c r="M106" s="46">
        <v>10</v>
      </c>
      <c r="N106" s="46">
        <v>10</v>
      </c>
      <c r="O106" s="49">
        <f t="shared" si="43"/>
        <v>800</v>
      </c>
      <c r="P106" s="49">
        <f t="shared" si="43"/>
        <v>1200</v>
      </c>
      <c r="Q106" s="49">
        <f t="shared" si="43"/>
        <v>1200</v>
      </c>
      <c r="R106" s="49">
        <f t="shared" si="43"/>
        <v>2000</v>
      </c>
      <c r="S106" s="49">
        <f t="shared" si="43"/>
        <v>2000</v>
      </c>
      <c r="T106" s="55">
        <f t="shared" ref="T106:T123" si="53">SUM(O106:S106)</f>
        <v>7200</v>
      </c>
      <c r="V106" s="88" t="s">
        <v>203</v>
      </c>
    </row>
    <row r="107" spans="2:23" ht="28.5">
      <c r="B107" s="275"/>
      <c r="C107" s="275"/>
      <c r="D107" s="275"/>
      <c r="E107" s="242" t="s">
        <v>160</v>
      </c>
      <c r="F107" s="46" t="s">
        <v>169</v>
      </c>
      <c r="G107" s="47" t="s">
        <v>196</v>
      </c>
      <c r="H107" s="48" t="s">
        <v>197</v>
      </c>
      <c r="I107" s="49">
        <v>100</v>
      </c>
      <c r="J107" s="46">
        <v>40</v>
      </c>
      <c r="K107" s="46">
        <v>40</v>
      </c>
      <c r="L107" s="46">
        <v>40</v>
      </c>
      <c r="M107" s="46">
        <v>40</v>
      </c>
      <c r="N107" s="46">
        <v>40</v>
      </c>
      <c r="O107" s="49">
        <f t="shared" ref="O107" si="54">$I107*J107</f>
        <v>4000</v>
      </c>
      <c r="P107" s="49">
        <f t="shared" ref="P107" si="55">$I107*K107</f>
        <v>4000</v>
      </c>
      <c r="Q107" s="49">
        <f t="shared" ref="Q107" si="56">$I107*L107</f>
        <v>4000</v>
      </c>
      <c r="R107" s="49">
        <f t="shared" ref="R107" si="57">$I107*M107</f>
        <v>4000</v>
      </c>
      <c r="S107" s="49">
        <f t="shared" ref="S107" si="58">$I107*N107</f>
        <v>4000</v>
      </c>
      <c r="T107" s="55">
        <f t="shared" ref="T107" si="59">SUM(O107:S107)</f>
        <v>20000</v>
      </c>
      <c r="V107" s="88" t="s">
        <v>195</v>
      </c>
    </row>
    <row r="108" spans="2:23" ht="71.25">
      <c r="B108" s="275"/>
      <c r="C108" s="275"/>
      <c r="D108" s="275"/>
      <c r="E108" s="242" t="s">
        <v>160</v>
      </c>
      <c r="F108" s="46" t="s">
        <v>168</v>
      </c>
      <c r="G108" s="47" t="s">
        <v>294</v>
      </c>
      <c r="H108" s="48" t="s">
        <v>295</v>
      </c>
      <c r="I108" s="49">
        <v>5000</v>
      </c>
      <c r="J108" s="46">
        <v>1</v>
      </c>
      <c r="K108" s="46">
        <v>1</v>
      </c>
      <c r="L108" s="46">
        <v>1</v>
      </c>
      <c r="M108" s="46">
        <v>1</v>
      </c>
      <c r="N108" s="46">
        <v>1</v>
      </c>
      <c r="O108" s="49">
        <f t="shared" si="43"/>
        <v>5000</v>
      </c>
      <c r="P108" s="49">
        <f t="shared" si="43"/>
        <v>5000</v>
      </c>
      <c r="Q108" s="49">
        <f t="shared" si="43"/>
        <v>5000</v>
      </c>
      <c r="R108" s="49">
        <f t="shared" si="43"/>
        <v>5000</v>
      </c>
      <c r="S108" s="49">
        <f t="shared" si="43"/>
        <v>5000</v>
      </c>
      <c r="T108" s="55">
        <f t="shared" si="53"/>
        <v>25000</v>
      </c>
      <c r="V108" s="88" t="s">
        <v>203</v>
      </c>
    </row>
    <row r="109" spans="2:23" ht="45" customHeight="1">
      <c r="B109" s="275"/>
      <c r="C109" s="275"/>
      <c r="D109" s="275"/>
      <c r="E109" s="242" t="s">
        <v>160</v>
      </c>
      <c r="F109" s="46" t="s">
        <v>163</v>
      </c>
      <c r="G109" s="47" t="s">
        <v>296</v>
      </c>
      <c r="H109" s="48" t="s">
        <v>194</v>
      </c>
      <c r="I109" s="49">
        <v>150</v>
      </c>
      <c r="J109" s="46">
        <v>150</v>
      </c>
      <c r="K109" s="46">
        <v>150</v>
      </c>
      <c r="L109" s="46">
        <v>150</v>
      </c>
      <c r="M109" s="46">
        <v>150</v>
      </c>
      <c r="N109" s="46">
        <v>150</v>
      </c>
      <c r="O109" s="49">
        <f t="shared" ref="O109" si="60">$I109*J109</f>
        <v>22500</v>
      </c>
      <c r="P109" s="49">
        <f t="shared" ref="P109" si="61">$I109*K109</f>
        <v>22500</v>
      </c>
      <c r="Q109" s="49">
        <f t="shared" ref="Q109" si="62">$I109*L109</f>
        <v>22500</v>
      </c>
      <c r="R109" s="49">
        <f t="shared" ref="R109" si="63">$I109*M109</f>
        <v>22500</v>
      </c>
      <c r="S109" s="49">
        <f t="shared" ref="S109" si="64">$I109*N109</f>
        <v>22500</v>
      </c>
      <c r="T109" s="55">
        <f t="shared" ref="T109" si="65">SUM(O109:S109)</f>
        <v>112500</v>
      </c>
      <c r="V109" s="88" t="s">
        <v>195</v>
      </c>
    </row>
    <row r="110" spans="2:23" ht="45" customHeight="1">
      <c r="B110" s="275"/>
      <c r="C110" s="275"/>
      <c r="D110" s="275"/>
      <c r="E110" s="242" t="s">
        <v>160</v>
      </c>
      <c r="F110" s="46" t="s">
        <v>163</v>
      </c>
      <c r="G110" s="47" t="s">
        <v>297</v>
      </c>
      <c r="H110" s="48" t="s">
        <v>194</v>
      </c>
      <c r="I110" s="49">
        <v>150</v>
      </c>
      <c r="J110" s="46">
        <v>100</v>
      </c>
      <c r="K110" s="46">
        <v>250</v>
      </c>
      <c r="L110" s="46">
        <v>250</v>
      </c>
      <c r="M110" s="46">
        <v>250</v>
      </c>
      <c r="N110" s="46">
        <v>100</v>
      </c>
      <c r="O110" s="49">
        <f t="shared" ref="O110" si="66">$I110*J110</f>
        <v>15000</v>
      </c>
      <c r="P110" s="49">
        <f t="shared" ref="P110" si="67">$I110*K110</f>
        <v>37500</v>
      </c>
      <c r="Q110" s="49">
        <f t="shared" ref="Q110" si="68">$I110*L110</f>
        <v>37500</v>
      </c>
      <c r="R110" s="49">
        <f t="shared" ref="R110" si="69">$I110*M110</f>
        <v>37500</v>
      </c>
      <c r="S110" s="49">
        <f t="shared" ref="S110" si="70">$I110*N110</f>
        <v>15000</v>
      </c>
      <c r="T110" s="55">
        <f t="shared" ref="T110" si="71">SUM(O110:S110)</f>
        <v>142500</v>
      </c>
      <c r="V110" s="88" t="s">
        <v>195</v>
      </c>
    </row>
    <row r="111" spans="2:23" ht="45" customHeight="1">
      <c r="B111" s="275"/>
      <c r="C111" s="275"/>
      <c r="D111" s="275"/>
      <c r="E111" s="242" t="s">
        <v>160</v>
      </c>
      <c r="F111" s="46" t="s">
        <v>163</v>
      </c>
      <c r="G111" s="47" t="s">
        <v>298</v>
      </c>
      <c r="H111" s="48" t="s">
        <v>194</v>
      </c>
      <c r="I111" s="49">
        <v>150</v>
      </c>
      <c r="J111" s="46">
        <v>120</v>
      </c>
      <c r="K111" s="46">
        <v>250</v>
      </c>
      <c r="L111" s="46">
        <v>250</v>
      </c>
      <c r="M111" s="46">
        <v>250</v>
      </c>
      <c r="N111" s="46">
        <v>150</v>
      </c>
      <c r="O111" s="49">
        <f t="shared" si="43"/>
        <v>18000</v>
      </c>
      <c r="P111" s="49">
        <f t="shared" si="43"/>
        <v>37500</v>
      </c>
      <c r="Q111" s="49">
        <f t="shared" si="43"/>
        <v>37500</v>
      </c>
      <c r="R111" s="49">
        <f t="shared" si="43"/>
        <v>37500</v>
      </c>
      <c r="S111" s="49">
        <f t="shared" si="43"/>
        <v>22500</v>
      </c>
      <c r="T111" s="55">
        <f t="shared" si="53"/>
        <v>153000</v>
      </c>
      <c r="V111" s="253" t="s">
        <v>195</v>
      </c>
      <c r="W111" t="s">
        <v>299</v>
      </c>
    </row>
    <row r="112" spans="2:23" ht="51" customHeight="1">
      <c r="B112" s="275"/>
      <c r="C112" s="275"/>
      <c r="D112" s="276" t="s">
        <v>300</v>
      </c>
      <c r="E112" s="46" t="s">
        <v>160</v>
      </c>
      <c r="F112" s="46" t="s">
        <v>163</v>
      </c>
      <c r="G112" s="47" t="s">
        <v>301</v>
      </c>
      <c r="H112" s="48" t="s">
        <v>194</v>
      </c>
      <c r="I112" s="49">
        <v>150</v>
      </c>
      <c r="J112" s="46">
        <v>50</v>
      </c>
      <c r="K112" s="46">
        <v>200</v>
      </c>
      <c r="L112" s="46">
        <v>200</v>
      </c>
      <c r="M112" s="46"/>
      <c r="N112" s="46"/>
      <c r="O112" s="49">
        <f t="shared" si="43"/>
        <v>7500</v>
      </c>
      <c r="P112" s="49">
        <f t="shared" si="43"/>
        <v>30000</v>
      </c>
      <c r="Q112" s="49">
        <f t="shared" si="43"/>
        <v>30000</v>
      </c>
      <c r="R112" s="49">
        <f t="shared" si="43"/>
        <v>0</v>
      </c>
      <c r="S112" s="49">
        <f t="shared" si="43"/>
        <v>0</v>
      </c>
      <c r="T112" s="50">
        <f t="shared" si="53"/>
        <v>67500</v>
      </c>
      <c r="V112" s="88" t="s">
        <v>195</v>
      </c>
    </row>
    <row r="113" spans="2:22" ht="51" customHeight="1">
      <c r="B113" s="275"/>
      <c r="C113" s="275"/>
      <c r="D113" s="277"/>
      <c r="E113" s="46" t="s">
        <v>160</v>
      </c>
      <c r="F113" s="46" t="s">
        <v>169</v>
      </c>
      <c r="G113" s="47" t="s">
        <v>302</v>
      </c>
      <c r="H113" s="48" t="s">
        <v>197</v>
      </c>
      <c r="I113" s="49">
        <v>100</v>
      </c>
      <c r="J113" s="46">
        <v>10</v>
      </c>
      <c r="K113" s="46">
        <v>20</v>
      </c>
      <c r="L113" s="46">
        <v>20</v>
      </c>
      <c r="M113" s="46"/>
      <c r="N113" s="46"/>
      <c r="O113" s="49">
        <f t="shared" ref="O113" si="72">$I113*J113</f>
        <v>1000</v>
      </c>
      <c r="P113" s="49">
        <f t="shared" ref="P113" si="73">$I113*K113</f>
        <v>2000</v>
      </c>
      <c r="Q113" s="49">
        <f t="shared" ref="Q113" si="74">$I113*L113</f>
        <v>2000</v>
      </c>
      <c r="R113" s="49">
        <f t="shared" ref="R113" si="75">$I113*M113</f>
        <v>0</v>
      </c>
      <c r="S113" s="49">
        <f t="shared" ref="S113" si="76">$I113*N113</f>
        <v>0</v>
      </c>
      <c r="T113" s="50">
        <f t="shared" ref="T113" si="77">SUM(O113:S113)</f>
        <v>5000</v>
      </c>
      <c r="V113" s="88" t="s">
        <v>195</v>
      </c>
    </row>
    <row r="114" spans="2:22" ht="54" customHeight="1">
      <c r="B114" s="275"/>
      <c r="C114" s="275"/>
      <c r="D114" s="277"/>
      <c r="E114" s="243" t="s">
        <v>162</v>
      </c>
      <c r="F114" s="46" t="s">
        <v>161</v>
      </c>
      <c r="G114" s="47" t="s">
        <v>303</v>
      </c>
      <c r="H114" s="48" t="s">
        <v>194</v>
      </c>
      <c r="I114" s="49">
        <v>150</v>
      </c>
      <c r="J114" s="46">
        <v>50</v>
      </c>
      <c r="K114" s="46">
        <v>100</v>
      </c>
      <c r="L114" s="46">
        <v>100</v>
      </c>
      <c r="M114" s="46">
        <v>100</v>
      </c>
      <c r="N114" s="46">
        <v>100</v>
      </c>
      <c r="O114" s="49">
        <f t="shared" si="43"/>
        <v>7500</v>
      </c>
      <c r="P114" s="49">
        <f t="shared" si="43"/>
        <v>15000</v>
      </c>
      <c r="Q114" s="49">
        <f t="shared" si="43"/>
        <v>15000</v>
      </c>
      <c r="R114" s="49">
        <f t="shared" si="43"/>
        <v>15000</v>
      </c>
      <c r="S114" s="49">
        <f t="shared" si="43"/>
        <v>15000</v>
      </c>
      <c r="T114" s="50">
        <f t="shared" si="53"/>
        <v>67500</v>
      </c>
      <c r="V114" s="88" t="s">
        <v>195</v>
      </c>
    </row>
    <row r="115" spans="2:22" ht="28.5">
      <c r="B115" s="275"/>
      <c r="C115" s="275"/>
      <c r="D115" s="277"/>
      <c r="E115" s="46" t="s">
        <v>160</v>
      </c>
      <c r="F115" s="46" t="s">
        <v>165</v>
      </c>
      <c r="G115" s="47" t="s">
        <v>304</v>
      </c>
      <c r="H115" s="48" t="s">
        <v>194</v>
      </c>
      <c r="I115" s="49">
        <v>950</v>
      </c>
      <c r="J115" s="46">
        <v>50</v>
      </c>
      <c r="K115" s="46">
        <v>50</v>
      </c>
      <c r="L115" s="46">
        <v>50</v>
      </c>
      <c r="M115" s="46"/>
      <c r="N115" s="46"/>
      <c r="O115" s="49">
        <f t="shared" si="43"/>
        <v>47500</v>
      </c>
      <c r="P115" s="49">
        <f t="shared" si="43"/>
        <v>47500</v>
      </c>
      <c r="Q115" s="49">
        <f t="shared" si="43"/>
        <v>47500</v>
      </c>
      <c r="R115" s="49">
        <f t="shared" si="43"/>
        <v>0</v>
      </c>
      <c r="S115" s="49">
        <f t="shared" si="43"/>
        <v>0</v>
      </c>
      <c r="T115" s="50">
        <f t="shared" si="53"/>
        <v>142500</v>
      </c>
      <c r="V115" s="88" t="s">
        <v>195</v>
      </c>
    </row>
    <row r="116" spans="2:22" ht="28.5">
      <c r="B116" s="275"/>
      <c r="C116" s="275"/>
      <c r="D116" s="277"/>
      <c r="E116" s="46" t="s">
        <v>160</v>
      </c>
      <c r="F116" s="46" t="s">
        <v>165</v>
      </c>
      <c r="G116" s="47" t="s">
        <v>305</v>
      </c>
      <c r="H116" s="48" t="s">
        <v>194</v>
      </c>
      <c r="I116" s="49">
        <v>950</v>
      </c>
      <c r="J116" s="46"/>
      <c r="K116" s="46"/>
      <c r="L116" s="46"/>
      <c r="M116" s="46">
        <v>20</v>
      </c>
      <c r="N116" s="46">
        <v>20</v>
      </c>
      <c r="O116" s="49">
        <f t="shared" ref="O116" si="78">$I116*J116</f>
        <v>0</v>
      </c>
      <c r="P116" s="49">
        <f t="shared" ref="P116" si="79">$I116*K116</f>
        <v>0</v>
      </c>
      <c r="Q116" s="49">
        <f t="shared" ref="Q116" si="80">$I116*L116</f>
        <v>0</v>
      </c>
      <c r="R116" s="49">
        <f t="shared" ref="R116" si="81">$I116*M116</f>
        <v>19000</v>
      </c>
      <c r="S116" s="49">
        <f t="shared" ref="S116" si="82">$I116*N116</f>
        <v>19000</v>
      </c>
      <c r="T116" s="50">
        <f t="shared" ref="T116" si="83">SUM(O116:S116)</f>
        <v>38000</v>
      </c>
      <c r="V116" s="88" t="s">
        <v>195</v>
      </c>
    </row>
    <row r="117" spans="2:22" ht="28.5">
      <c r="B117" s="275"/>
      <c r="C117" s="275"/>
      <c r="D117" s="277"/>
      <c r="E117" s="46" t="s">
        <v>160</v>
      </c>
      <c r="F117" s="46" t="s">
        <v>163</v>
      </c>
      <c r="G117" s="47" t="s">
        <v>306</v>
      </c>
      <c r="H117" s="48" t="s">
        <v>194</v>
      </c>
      <c r="I117" s="49">
        <v>150</v>
      </c>
      <c r="J117" s="46"/>
      <c r="K117" s="46"/>
      <c r="L117" s="46"/>
      <c r="M117" s="46">
        <v>400</v>
      </c>
      <c r="N117" s="46">
        <v>400</v>
      </c>
      <c r="O117" s="49">
        <f t="shared" ref="O117" si="84">$I117*J117</f>
        <v>0</v>
      </c>
      <c r="P117" s="49">
        <f t="shared" ref="P117" si="85">$I117*K117</f>
        <v>0</v>
      </c>
      <c r="Q117" s="49">
        <f t="shared" ref="Q117" si="86">$I117*L117</f>
        <v>0</v>
      </c>
      <c r="R117" s="49">
        <f t="shared" ref="R117" si="87">$I117*M117</f>
        <v>60000</v>
      </c>
      <c r="S117" s="49">
        <f t="shared" ref="S117" si="88">$I117*N117</f>
        <v>60000</v>
      </c>
      <c r="T117" s="50">
        <f t="shared" ref="T117" si="89">SUM(O117:S117)</f>
        <v>120000</v>
      </c>
      <c r="V117" s="88" t="s">
        <v>195</v>
      </c>
    </row>
    <row r="118" spans="2:22" ht="28.5">
      <c r="B118" s="275"/>
      <c r="C118" s="275"/>
      <c r="D118" s="277"/>
      <c r="E118" s="46" t="s">
        <v>160</v>
      </c>
      <c r="F118" s="46" t="s">
        <v>169</v>
      </c>
      <c r="G118" s="47" t="s">
        <v>302</v>
      </c>
      <c r="H118" s="48" t="s">
        <v>197</v>
      </c>
      <c r="I118" s="49">
        <v>100</v>
      </c>
      <c r="J118" s="46"/>
      <c r="K118" s="46"/>
      <c r="L118" s="46"/>
      <c r="M118" s="46">
        <v>10</v>
      </c>
      <c r="N118" s="46">
        <v>10</v>
      </c>
      <c r="O118" s="49">
        <f t="shared" ref="O118" si="90">$I118*J118</f>
        <v>0</v>
      </c>
      <c r="P118" s="49">
        <f t="shared" ref="P118" si="91">$I118*K118</f>
        <v>0</v>
      </c>
      <c r="Q118" s="49">
        <f t="shared" ref="Q118" si="92">$I118*L118</f>
        <v>0</v>
      </c>
      <c r="R118" s="49">
        <f t="shared" ref="R118" si="93">$I118*M118</f>
        <v>1000</v>
      </c>
      <c r="S118" s="49">
        <f t="shared" ref="S118" si="94">$I118*N118</f>
        <v>1000</v>
      </c>
      <c r="T118" s="50">
        <f t="shared" ref="T118" si="95">SUM(O118:S118)</f>
        <v>2000</v>
      </c>
      <c r="V118" s="88" t="s">
        <v>195</v>
      </c>
    </row>
    <row r="119" spans="2:22" ht="28.5">
      <c r="B119" s="275"/>
      <c r="C119" s="275"/>
      <c r="D119" s="277"/>
      <c r="E119" s="46" t="s">
        <v>160</v>
      </c>
      <c r="F119" s="46" t="s">
        <v>169</v>
      </c>
      <c r="G119" s="47" t="s">
        <v>199</v>
      </c>
      <c r="H119" s="48" t="s">
        <v>200</v>
      </c>
      <c r="I119" s="49">
        <v>1700</v>
      </c>
      <c r="J119" s="46"/>
      <c r="K119" s="46"/>
      <c r="L119" s="46"/>
      <c r="M119" s="46">
        <v>1</v>
      </c>
      <c r="N119" s="46">
        <v>1</v>
      </c>
      <c r="O119" s="49">
        <f t="shared" ref="O119:O121" si="96">$I119*J119</f>
        <v>0</v>
      </c>
      <c r="P119" s="49">
        <f t="shared" ref="P119:P121" si="97">$I119*K119</f>
        <v>0</v>
      </c>
      <c r="Q119" s="49">
        <f t="shared" ref="Q119:Q121" si="98">$I119*L119</f>
        <v>0</v>
      </c>
      <c r="R119" s="49">
        <f t="shared" ref="R119:R121" si="99">$I119*M119</f>
        <v>1700</v>
      </c>
      <c r="S119" s="49">
        <f t="shared" ref="S119:S121" si="100">$I119*N119</f>
        <v>1700</v>
      </c>
      <c r="T119" s="50">
        <f t="shared" ref="T119:T121" si="101">SUM(O119:S119)</f>
        <v>3400</v>
      </c>
      <c r="V119" s="88" t="s">
        <v>195</v>
      </c>
    </row>
    <row r="120" spans="2:22">
      <c r="B120" s="275"/>
      <c r="C120" s="275"/>
      <c r="D120" s="277"/>
      <c r="E120" s="46" t="s">
        <v>160</v>
      </c>
      <c r="F120" s="46" t="s">
        <v>169</v>
      </c>
      <c r="G120" s="47" t="s">
        <v>201</v>
      </c>
      <c r="H120" s="48" t="s">
        <v>202</v>
      </c>
      <c r="I120" s="49">
        <v>200</v>
      </c>
      <c r="J120" s="46">
        <v>0</v>
      </c>
      <c r="K120" s="46">
        <v>0</v>
      </c>
      <c r="L120" s="46">
        <v>0</v>
      </c>
      <c r="M120" s="46">
        <v>7</v>
      </c>
      <c r="N120" s="46">
        <v>7</v>
      </c>
      <c r="O120" s="49">
        <f t="shared" si="96"/>
        <v>0</v>
      </c>
      <c r="P120" s="49">
        <f t="shared" si="97"/>
        <v>0</v>
      </c>
      <c r="Q120" s="49">
        <f t="shared" si="98"/>
        <v>0</v>
      </c>
      <c r="R120" s="49">
        <f t="shared" si="99"/>
        <v>1400</v>
      </c>
      <c r="S120" s="49">
        <f t="shared" si="100"/>
        <v>1400</v>
      </c>
      <c r="T120" s="50">
        <f t="shared" si="101"/>
        <v>2800</v>
      </c>
      <c r="V120" s="88" t="s">
        <v>203</v>
      </c>
    </row>
    <row r="121" spans="2:22" ht="42.75">
      <c r="B121" s="275"/>
      <c r="C121" s="275"/>
      <c r="D121" s="278"/>
      <c r="E121" s="46" t="s">
        <v>160</v>
      </c>
      <c r="F121" s="46" t="s">
        <v>168</v>
      </c>
      <c r="G121" s="47" t="s">
        <v>307</v>
      </c>
      <c r="H121" s="48" t="s">
        <v>308</v>
      </c>
      <c r="I121" s="49">
        <v>5000</v>
      </c>
      <c r="J121" s="46"/>
      <c r="K121" s="46"/>
      <c r="L121" s="46"/>
      <c r="M121" s="46">
        <v>1</v>
      </c>
      <c r="N121" s="46">
        <v>1</v>
      </c>
      <c r="O121" s="49">
        <f t="shared" si="96"/>
        <v>0</v>
      </c>
      <c r="P121" s="49">
        <f t="shared" si="97"/>
        <v>0</v>
      </c>
      <c r="Q121" s="49">
        <f t="shared" si="98"/>
        <v>0</v>
      </c>
      <c r="R121" s="49">
        <f t="shared" si="99"/>
        <v>5000</v>
      </c>
      <c r="S121" s="49">
        <f t="shared" si="100"/>
        <v>5000</v>
      </c>
      <c r="T121" s="50">
        <f t="shared" si="101"/>
        <v>10000</v>
      </c>
      <c r="V121" s="88" t="s">
        <v>195</v>
      </c>
    </row>
    <row r="122" spans="2:22" ht="67.5" customHeight="1">
      <c r="B122" s="275"/>
      <c r="C122" s="275"/>
      <c r="D122" s="279" t="s">
        <v>309</v>
      </c>
      <c r="E122" s="46" t="s">
        <v>160</v>
      </c>
      <c r="F122" s="46" t="s">
        <v>168</v>
      </c>
      <c r="G122" s="47" t="s">
        <v>310</v>
      </c>
      <c r="H122" s="48" t="s">
        <v>277</v>
      </c>
      <c r="I122" s="49">
        <v>5000</v>
      </c>
      <c r="J122" s="46"/>
      <c r="K122" s="46">
        <v>1</v>
      </c>
      <c r="L122" s="46">
        <v>1</v>
      </c>
      <c r="M122" s="46">
        <v>1</v>
      </c>
      <c r="N122" s="46">
        <v>1</v>
      </c>
      <c r="O122" s="49">
        <f t="shared" si="43"/>
        <v>0</v>
      </c>
      <c r="P122" s="49">
        <f t="shared" si="43"/>
        <v>5000</v>
      </c>
      <c r="Q122" s="49">
        <f t="shared" si="43"/>
        <v>5000</v>
      </c>
      <c r="R122" s="49">
        <f t="shared" si="43"/>
        <v>5000</v>
      </c>
      <c r="S122" s="49">
        <f t="shared" si="43"/>
        <v>5000</v>
      </c>
      <c r="T122" s="50">
        <f t="shared" si="53"/>
        <v>20000</v>
      </c>
      <c r="V122" s="88" t="s">
        <v>248</v>
      </c>
    </row>
    <row r="123" spans="2:22" ht="66" customHeight="1">
      <c r="B123" s="275"/>
      <c r="C123" s="275"/>
      <c r="D123" s="279"/>
      <c r="E123" s="46" t="s">
        <v>160</v>
      </c>
      <c r="F123" s="46" t="s">
        <v>163</v>
      </c>
      <c r="G123" s="47" t="s">
        <v>311</v>
      </c>
      <c r="H123" s="48" t="s">
        <v>194</v>
      </c>
      <c r="I123" s="49">
        <v>150</v>
      </c>
      <c r="J123" s="46">
        <v>50</v>
      </c>
      <c r="K123" s="46">
        <v>150</v>
      </c>
      <c r="L123" s="46">
        <v>150</v>
      </c>
      <c r="M123" s="46">
        <v>150</v>
      </c>
      <c r="N123" s="46">
        <v>150</v>
      </c>
      <c r="O123" s="49">
        <f t="shared" si="43"/>
        <v>7500</v>
      </c>
      <c r="P123" s="49">
        <f t="shared" si="43"/>
        <v>22500</v>
      </c>
      <c r="Q123" s="49">
        <f t="shared" si="43"/>
        <v>22500</v>
      </c>
      <c r="R123" s="49">
        <f t="shared" si="43"/>
        <v>22500</v>
      </c>
      <c r="S123" s="49">
        <f t="shared" si="43"/>
        <v>22500</v>
      </c>
      <c r="T123" s="50">
        <f t="shared" si="53"/>
        <v>97500</v>
      </c>
      <c r="V123" s="88" t="s">
        <v>195</v>
      </c>
    </row>
    <row r="124" spans="2:22">
      <c r="B124" s="275"/>
      <c r="C124" s="56" t="s">
        <v>312</v>
      </c>
      <c r="D124" s="56"/>
      <c r="E124" s="56"/>
      <c r="F124" s="56"/>
      <c r="G124" s="57"/>
      <c r="H124" s="58"/>
      <c r="I124" s="58"/>
      <c r="J124" s="59"/>
      <c r="K124" s="59"/>
      <c r="L124" s="59"/>
      <c r="M124" s="59"/>
      <c r="N124" s="59"/>
      <c r="O124" s="60">
        <f t="shared" ref="O124:T124" si="102">SUM(O20:O123)</f>
        <v>551833.80323244061</v>
      </c>
      <c r="P124" s="60">
        <f t="shared" si="102"/>
        <v>1121522.0875509307</v>
      </c>
      <c r="Q124" s="60">
        <f t="shared" si="102"/>
        <v>13758295.265571991</v>
      </c>
      <c r="R124" s="60">
        <f t="shared" si="102"/>
        <v>700026.56327251648</v>
      </c>
      <c r="S124" s="60">
        <f t="shared" si="102"/>
        <v>478150</v>
      </c>
      <c r="T124" s="60">
        <f t="shared" si="102"/>
        <v>16609827.719627881</v>
      </c>
      <c r="V124" s="88" t="s">
        <v>195</v>
      </c>
    </row>
    <row r="125" spans="2:22" ht="28.5">
      <c r="B125" s="275" t="s">
        <v>313</v>
      </c>
      <c r="C125" s="275" t="s">
        <v>314</v>
      </c>
      <c r="D125" s="276" t="s">
        <v>315</v>
      </c>
      <c r="E125" s="46" t="s">
        <v>160</v>
      </c>
      <c r="F125" s="46" t="s">
        <v>165</v>
      </c>
      <c r="G125" s="47" t="s">
        <v>316</v>
      </c>
      <c r="H125" s="48" t="s">
        <v>194</v>
      </c>
      <c r="I125" s="49">
        <v>950</v>
      </c>
      <c r="J125" s="46"/>
      <c r="K125" s="46"/>
      <c r="L125" s="46">
        <v>30</v>
      </c>
      <c r="M125" s="46">
        <v>30</v>
      </c>
      <c r="N125" s="46">
        <v>30</v>
      </c>
      <c r="O125" s="49">
        <f t="shared" ref="O125:S150" si="103">$I125*J125</f>
        <v>0</v>
      </c>
      <c r="P125" s="49">
        <f t="shared" si="103"/>
        <v>0</v>
      </c>
      <c r="Q125" s="49">
        <f t="shared" si="103"/>
        <v>28500</v>
      </c>
      <c r="R125" s="49">
        <f t="shared" si="103"/>
        <v>28500</v>
      </c>
      <c r="S125" s="49">
        <f t="shared" si="103"/>
        <v>28500</v>
      </c>
      <c r="T125" s="49">
        <f t="shared" ref="T125:T154" si="104">SUM(O125:S125)</f>
        <v>85500</v>
      </c>
      <c r="V125" s="88" t="s">
        <v>195</v>
      </c>
    </row>
    <row r="126" spans="2:22" ht="57">
      <c r="B126" s="275"/>
      <c r="C126" s="275"/>
      <c r="D126" s="277"/>
      <c r="E126" s="46" t="s">
        <v>160</v>
      </c>
      <c r="F126" s="46" t="s">
        <v>168</v>
      </c>
      <c r="G126" s="47" t="s">
        <v>317</v>
      </c>
      <c r="H126" s="48" t="s">
        <v>260</v>
      </c>
      <c r="I126" s="49">
        <v>400</v>
      </c>
      <c r="J126" s="46"/>
      <c r="K126" s="46"/>
      <c r="L126" s="46">
        <v>3</v>
      </c>
      <c r="M126" s="46">
        <v>3</v>
      </c>
      <c r="N126" s="46">
        <v>2</v>
      </c>
      <c r="O126" s="49">
        <f t="shared" ref="O126" si="105">$I126*J126</f>
        <v>0</v>
      </c>
      <c r="P126" s="49">
        <f t="shared" ref="P126" si="106">$I126*K126</f>
        <v>0</v>
      </c>
      <c r="Q126" s="49">
        <f t="shared" ref="Q126" si="107">$I126*L126</f>
        <v>1200</v>
      </c>
      <c r="R126" s="49">
        <f t="shared" ref="R126" si="108">$I126*M126</f>
        <v>1200</v>
      </c>
      <c r="S126" s="49">
        <f t="shared" ref="S126" si="109">$I126*N126</f>
        <v>800</v>
      </c>
      <c r="T126" s="49">
        <f t="shared" ref="T126" si="110">SUM(O126:S126)</f>
        <v>3200</v>
      </c>
      <c r="V126" s="88" t="s">
        <v>195</v>
      </c>
    </row>
    <row r="127" spans="2:22" ht="26.25" customHeight="1">
      <c r="B127" s="275"/>
      <c r="C127" s="275"/>
      <c r="D127" s="277"/>
      <c r="E127" s="46" t="s">
        <v>160</v>
      </c>
      <c r="F127" s="46" t="s">
        <v>163</v>
      </c>
      <c r="G127" s="47" t="s">
        <v>318</v>
      </c>
      <c r="H127" s="48" t="s">
        <v>194</v>
      </c>
      <c r="I127" s="49">
        <v>150</v>
      </c>
      <c r="J127" s="46"/>
      <c r="K127" s="46"/>
      <c r="L127" s="46">
        <v>50</v>
      </c>
      <c r="M127" s="46">
        <v>50</v>
      </c>
      <c r="N127" s="46">
        <v>30</v>
      </c>
      <c r="O127" s="49">
        <f t="shared" si="103"/>
        <v>0</v>
      </c>
      <c r="P127" s="49">
        <f t="shared" si="103"/>
        <v>0</v>
      </c>
      <c r="Q127" s="49">
        <f t="shared" si="103"/>
        <v>7500</v>
      </c>
      <c r="R127" s="49">
        <f t="shared" si="103"/>
        <v>7500</v>
      </c>
      <c r="S127" s="49">
        <f t="shared" si="103"/>
        <v>4500</v>
      </c>
      <c r="T127" s="49">
        <f t="shared" si="104"/>
        <v>19500</v>
      </c>
      <c r="V127" s="88" t="s">
        <v>195</v>
      </c>
    </row>
    <row r="128" spans="2:22" ht="32.25" customHeight="1">
      <c r="B128" s="275"/>
      <c r="C128" s="275"/>
      <c r="D128" s="276" t="s">
        <v>319</v>
      </c>
      <c r="E128" s="46" t="s">
        <v>160</v>
      </c>
      <c r="F128" s="46" t="s">
        <v>165</v>
      </c>
      <c r="G128" s="47" t="s">
        <v>316</v>
      </c>
      <c r="H128" s="48" t="s">
        <v>194</v>
      </c>
      <c r="I128" s="49">
        <v>950</v>
      </c>
      <c r="J128" s="46"/>
      <c r="K128" s="46"/>
      <c r="L128" s="46">
        <v>60</v>
      </c>
      <c r="M128" s="46">
        <v>100</v>
      </c>
      <c r="N128" s="46"/>
      <c r="O128" s="49">
        <f t="shared" si="103"/>
        <v>0</v>
      </c>
      <c r="P128" s="49">
        <f t="shared" si="103"/>
        <v>0</v>
      </c>
      <c r="Q128" s="49">
        <f t="shared" si="103"/>
        <v>57000</v>
      </c>
      <c r="R128" s="49">
        <f t="shared" si="103"/>
        <v>95000</v>
      </c>
      <c r="S128" s="49">
        <f t="shared" si="103"/>
        <v>0</v>
      </c>
      <c r="T128" s="49">
        <f t="shared" si="104"/>
        <v>152000</v>
      </c>
      <c r="V128" s="88" t="s">
        <v>195</v>
      </c>
    </row>
    <row r="129" spans="2:23" ht="26.25" customHeight="1">
      <c r="B129" s="275"/>
      <c r="C129" s="275"/>
      <c r="D129" s="277"/>
      <c r="E129" s="46" t="s">
        <v>160</v>
      </c>
      <c r="F129" s="46" t="s">
        <v>163</v>
      </c>
      <c r="G129" s="47" t="s">
        <v>318</v>
      </c>
      <c r="H129" s="48" t="s">
        <v>194</v>
      </c>
      <c r="I129" s="49">
        <v>150</v>
      </c>
      <c r="J129" s="46"/>
      <c r="K129" s="46"/>
      <c r="L129" s="46">
        <v>100</v>
      </c>
      <c r="M129" s="46">
        <v>100</v>
      </c>
      <c r="N129" s="46"/>
      <c r="O129" s="49">
        <f t="shared" si="103"/>
        <v>0</v>
      </c>
      <c r="P129" s="49">
        <f t="shared" si="103"/>
        <v>0</v>
      </c>
      <c r="Q129" s="49">
        <f t="shared" si="103"/>
        <v>15000</v>
      </c>
      <c r="R129" s="49">
        <f t="shared" si="103"/>
        <v>15000</v>
      </c>
      <c r="S129" s="49">
        <f t="shared" si="103"/>
        <v>0</v>
      </c>
      <c r="T129" s="49">
        <f t="shared" si="104"/>
        <v>30000</v>
      </c>
      <c r="V129" s="88" t="s">
        <v>195</v>
      </c>
    </row>
    <row r="130" spans="2:23" ht="26.25" customHeight="1">
      <c r="B130" s="275"/>
      <c r="C130" s="275"/>
      <c r="D130" s="277"/>
      <c r="E130" s="46" t="s">
        <v>160</v>
      </c>
      <c r="F130" s="46" t="s">
        <v>169</v>
      </c>
      <c r="G130" s="47" t="s">
        <v>302</v>
      </c>
      <c r="H130" s="48" t="s">
        <v>197</v>
      </c>
      <c r="I130" s="49">
        <v>100</v>
      </c>
      <c r="J130" s="46"/>
      <c r="K130" s="46"/>
      <c r="L130" s="46">
        <v>15</v>
      </c>
      <c r="M130" s="46">
        <v>15</v>
      </c>
      <c r="N130" s="46"/>
      <c r="O130" s="49">
        <f t="shared" ref="O130" si="111">$I130*J130</f>
        <v>0</v>
      </c>
      <c r="P130" s="49">
        <f t="shared" ref="P130" si="112">$I130*K130</f>
        <v>0</v>
      </c>
      <c r="Q130" s="49">
        <f t="shared" ref="Q130" si="113">$I130*L130</f>
        <v>1500</v>
      </c>
      <c r="R130" s="49">
        <f t="shared" ref="R130" si="114">$I130*M130</f>
        <v>1500</v>
      </c>
      <c r="S130" s="49">
        <f t="shared" ref="S130" si="115">$I130*N130</f>
        <v>0</v>
      </c>
      <c r="T130" s="49">
        <f t="shared" ref="T130" si="116">SUM(O130:S130)</f>
        <v>3000</v>
      </c>
      <c r="V130" s="88" t="s">
        <v>195</v>
      </c>
    </row>
    <row r="131" spans="2:23" ht="36" customHeight="1">
      <c r="B131" s="275"/>
      <c r="C131" s="275"/>
      <c r="D131" s="277"/>
      <c r="E131" s="242" t="s">
        <v>160</v>
      </c>
      <c r="F131" s="46" t="s">
        <v>169</v>
      </c>
      <c r="G131" s="47" t="s">
        <v>199</v>
      </c>
      <c r="H131" s="48" t="s">
        <v>200</v>
      </c>
      <c r="I131" s="49">
        <v>1700</v>
      </c>
      <c r="J131" s="46"/>
      <c r="K131" s="46"/>
      <c r="L131" s="46">
        <v>4</v>
      </c>
      <c r="M131" s="46">
        <v>5</v>
      </c>
      <c r="N131" s="46"/>
      <c r="O131" s="49">
        <f t="shared" si="103"/>
        <v>0</v>
      </c>
      <c r="P131" s="49">
        <f t="shared" si="103"/>
        <v>0</v>
      </c>
      <c r="Q131" s="49">
        <f t="shared" si="103"/>
        <v>6800</v>
      </c>
      <c r="R131" s="49">
        <f t="shared" si="103"/>
        <v>8500</v>
      </c>
      <c r="S131" s="49">
        <f t="shared" si="103"/>
        <v>0</v>
      </c>
      <c r="T131" s="50">
        <f t="shared" si="104"/>
        <v>15300</v>
      </c>
      <c r="V131" s="88" t="s">
        <v>195</v>
      </c>
    </row>
    <row r="132" spans="2:23" ht="36" customHeight="1">
      <c r="B132" s="275"/>
      <c r="C132" s="275"/>
      <c r="D132" s="277"/>
      <c r="E132" s="242" t="s">
        <v>160</v>
      </c>
      <c r="F132" s="46" t="s">
        <v>169</v>
      </c>
      <c r="G132" s="47" t="s">
        <v>201</v>
      </c>
      <c r="H132" s="48" t="s">
        <v>202</v>
      </c>
      <c r="I132" s="49">
        <v>200</v>
      </c>
      <c r="J132" s="46">
        <f>J131*7</f>
        <v>0</v>
      </c>
      <c r="K132" s="46">
        <f t="shared" ref="K132:N132" si="117">K131*7</f>
        <v>0</v>
      </c>
      <c r="L132" s="46">
        <f t="shared" si="117"/>
        <v>28</v>
      </c>
      <c r="M132" s="46">
        <f t="shared" si="117"/>
        <v>35</v>
      </c>
      <c r="N132" s="46">
        <f t="shared" si="117"/>
        <v>0</v>
      </c>
      <c r="O132" s="49">
        <f t="shared" si="103"/>
        <v>0</v>
      </c>
      <c r="P132" s="49">
        <f t="shared" si="103"/>
        <v>0</v>
      </c>
      <c r="Q132" s="49">
        <f t="shared" si="103"/>
        <v>5600</v>
      </c>
      <c r="R132" s="49">
        <f t="shared" si="103"/>
        <v>7000</v>
      </c>
      <c r="S132" s="49">
        <f t="shared" si="103"/>
        <v>0</v>
      </c>
      <c r="T132" s="50">
        <f t="shared" si="104"/>
        <v>12600</v>
      </c>
      <c r="V132" s="88" t="s">
        <v>203</v>
      </c>
    </row>
    <row r="133" spans="2:23" ht="42.75">
      <c r="B133" s="275"/>
      <c r="C133" s="275"/>
      <c r="D133" s="278"/>
      <c r="E133" s="46" t="s">
        <v>160</v>
      </c>
      <c r="F133" s="46" t="s">
        <v>168</v>
      </c>
      <c r="G133" s="47" t="s">
        <v>320</v>
      </c>
      <c r="H133" s="48" t="s">
        <v>260</v>
      </c>
      <c r="I133" s="49">
        <v>300</v>
      </c>
      <c r="J133" s="46"/>
      <c r="K133" s="46"/>
      <c r="L133" s="46">
        <v>2</v>
      </c>
      <c r="M133" s="46">
        <v>3</v>
      </c>
      <c r="N133" s="46"/>
      <c r="O133" s="49">
        <f t="shared" si="103"/>
        <v>0</v>
      </c>
      <c r="P133" s="49">
        <f t="shared" si="103"/>
        <v>0</v>
      </c>
      <c r="Q133" s="49">
        <f t="shared" si="103"/>
        <v>600</v>
      </c>
      <c r="R133" s="49">
        <f t="shared" si="103"/>
        <v>900</v>
      </c>
      <c r="S133" s="49">
        <f t="shared" si="103"/>
        <v>0</v>
      </c>
      <c r="T133" s="49">
        <f t="shared" si="104"/>
        <v>1500</v>
      </c>
      <c r="V133" s="88" t="s">
        <v>248</v>
      </c>
    </row>
    <row r="134" spans="2:23" ht="28.5">
      <c r="B134" s="275"/>
      <c r="C134" s="275"/>
      <c r="D134" s="276" t="s">
        <v>321</v>
      </c>
      <c r="E134" s="46" t="s">
        <v>160</v>
      </c>
      <c r="F134" s="46" t="s">
        <v>165</v>
      </c>
      <c r="G134" s="47" t="s">
        <v>316</v>
      </c>
      <c r="H134" s="48" t="s">
        <v>194</v>
      </c>
      <c r="I134" s="49">
        <v>950</v>
      </c>
      <c r="J134" s="46"/>
      <c r="K134" s="46">
        <v>50</v>
      </c>
      <c r="L134" s="46">
        <v>40</v>
      </c>
      <c r="M134" s="46"/>
      <c r="N134" s="46"/>
      <c r="O134" s="49">
        <f t="shared" si="103"/>
        <v>0</v>
      </c>
      <c r="P134" s="49">
        <f t="shared" si="103"/>
        <v>47500</v>
      </c>
      <c r="Q134" s="49">
        <f t="shared" si="103"/>
        <v>38000</v>
      </c>
      <c r="R134" s="49">
        <f t="shared" si="103"/>
        <v>0</v>
      </c>
      <c r="S134" s="49">
        <f t="shared" si="103"/>
        <v>0</v>
      </c>
      <c r="T134" s="49">
        <f t="shared" si="104"/>
        <v>85500</v>
      </c>
      <c r="V134" s="88" t="s">
        <v>195</v>
      </c>
    </row>
    <row r="135" spans="2:23" ht="28.5">
      <c r="B135" s="275"/>
      <c r="C135" s="275"/>
      <c r="D135" s="277"/>
      <c r="E135" s="46" t="s">
        <v>160</v>
      </c>
      <c r="F135" s="46" t="s">
        <v>163</v>
      </c>
      <c r="G135" s="47" t="s">
        <v>318</v>
      </c>
      <c r="H135" s="48" t="s">
        <v>194</v>
      </c>
      <c r="I135" s="49">
        <v>150</v>
      </c>
      <c r="J135" s="46"/>
      <c r="K135" s="46">
        <v>200</v>
      </c>
      <c r="L135" s="46">
        <v>200</v>
      </c>
      <c r="M135" s="46"/>
      <c r="N135" s="46"/>
      <c r="O135" s="49">
        <f t="shared" si="103"/>
        <v>0</v>
      </c>
      <c r="P135" s="49">
        <f t="shared" si="103"/>
        <v>30000</v>
      </c>
      <c r="Q135" s="49">
        <f t="shared" si="103"/>
        <v>30000</v>
      </c>
      <c r="R135" s="49">
        <f t="shared" si="103"/>
        <v>0</v>
      </c>
      <c r="S135" s="49">
        <f t="shared" si="103"/>
        <v>0</v>
      </c>
      <c r="T135" s="49">
        <f t="shared" si="104"/>
        <v>60000</v>
      </c>
      <c r="V135" s="88" t="s">
        <v>195</v>
      </c>
    </row>
    <row r="136" spans="2:23" ht="28.5">
      <c r="B136" s="275"/>
      <c r="C136" s="275"/>
      <c r="D136" s="277"/>
      <c r="E136" s="46" t="s">
        <v>160</v>
      </c>
      <c r="F136" s="46" t="s">
        <v>169</v>
      </c>
      <c r="G136" s="47" t="s">
        <v>302</v>
      </c>
      <c r="H136" s="48" t="s">
        <v>197</v>
      </c>
      <c r="I136" s="49">
        <v>100</v>
      </c>
      <c r="J136" s="46"/>
      <c r="K136" s="46">
        <v>50</v>
      </c>
      <c r="L136" s="46">
        <v>40</v>
      </c>
      <c r="M136" s="46"/>
      <c r="N136" s="46"/>
      <c r="O136" s="49">
        <f t="shared" ref="O136" si="118">$I136*J136</f>
        <v>0</v>
      </c>
      <c r="P136" s="49">
        <f t="shared" ref="P136" si="119">$I136*K136</f>
        <v>5000</v>
      </c>
      <c r="Q136" s="49">
        <f t="shared" ref="Q136" si="120">$I136*L136</f>
        <v>4000</v>
      </c>
      <c r="R136" s="49">
        <f t="shared" ref="R136" si="121">$I136*M136</f>
        <v>0</v>
      </c>
      <c r="S136" s="49">
        <f t="shared" ref="S136" si="122">$I136*N136</f>
        <v>0</v>
      </c>
      <c r="T136" s="49">
        <f t="shared" ref="T136" si="123">SUM(O136:S136)</f>
        <v>9000</v>
      </c>
      <c r="V136" s="88" t="s">
        <v>195</v>
      </c>
    </row>
    <row r="137" spans="2:23" ht="42.75">
      <c r="B137" s="275"/>
      <c r="C137" s="275"/>
      <c r="D137" s="278"/>
      <c r="E137" s="46" t="s">
        <v>160</v>
      </c>
      <c r="F137" s="46" t="s">
        <v>168</v>
      </c>
      <c r="G137" s="47" t="s">
        <v>322</v>
      </c>
      <c r="H137" s="48" t="s">
        <v>260</v>
      </c>
      <c r="I137" s="49">
        <v>500</v>
      </c>
      <c r="J137" s="46"/>
      <c r="K137" s="46">
        <v>2</v>
      </c>
      <c r="L137" s="46">
        <v>2</v>
      </c>
      <c r="M137" s="46"/>
      <c r="N137" s="46"/>
      <c r="O137" s="49">
        <f t="shared" si="103"/>
        <v>0</v>
      </c>
      <c r="P137" s="49">
        <f t="shared" si="103"/>
        <v>1000</v>
      </c>
      <c r="Q137" s="49">
        <f t="shared" si="103"/>
        <v>1000</v>
      </c>
      <c r="R137" s="49">
        <f t="shared" si="103"/>
        <v>0</v>
      </c>
      <c r="S137" s="49">
        <f t="shared" si="103"/>
        <v>0</v>
      </c>
      <c r="T137" s="49">
        <f t="shared" si="104"/>
        <v>2000</v>
      </c>
      <c r="V137" s="88" t="s">
        <v>195</v>
      </c>
    </row>
    <row r="138" spans="2:23" ht="15" customHeight="1">
      <c r="B138" s="275"/>
      <c r="C138" s="276" t="s">
        <v>323</v>
      </c>
      <c r="D138" s="276" t="s">
        <v>324</v>
      </c>
      <c r="E138" s="46" t="s">
        <v>160</v>
      </c>
      <c r="F138" s="46" t="s">
        <v>165</v>
      </c>
      <c r="G138" s="47" t="s">
        <v>316</v>
      </c>
      <c r="H138" s="48" t="s">
        <v>194</v>
      </c>
      <c r="I138" s="49">
        <v>950</v>
      </c>
      <c r="J138" s="46"/>
      <c r="K138" s="46"/>
      <c r="L138" s="46"/>
      <c r="M138" s="46">
        <v>40</v>
      </c>
      <c r="N138" s="46">
        <v>40</v>
      </c>
      <c r="O138" s="49">
        <f t="shared" si="103"/>
        <v>0</v>
      </c>
      <c r="P138" s="49">
        <f t="shared" si="103"/>
        <v>0</v>
      </c>
      <c r="Q138" s="49">
        <f t="shared" si="103"/>
        <v>0</v>
      </c>
      <c r="R138" s="49">
        <f t="shared" si="103"/>
        <v>38000</v>
      </c>
      <c r="S138" s="49">
        <f t="shared" si="103"/>
        <v>38000</v>
      </c>
      <c r="T138" s="49">
        <f t="shared" si="104"/>
        <v>76000</v>
      </c>
      <c r="V138" s="88" t="s">
        <v>195</v>
      </c>
    </row>
    <row r="139" spans="2:23" ht="140.44999999999999" customHeight="1">
      <c r="B139" s="275"/>
      <c r="C139" s="277"/>
      <c r="D139" s="278"/>
      <c r="E139" s="46" t="s">
        <v>160</v>
      </c>
      <c r="F139" s="46" t="s">
        <v>163</v>
      </c>
      <c r="G139" s="47" t="s">
        <v>325</v>
      </c>
      <c r="H139" s="48" t="s">
        <v>194</v>
      </c>
      <c r="I139" s="49">
        <v>150</v>
      </c>
      <c r="J139" s="46"/>
      <c r="K139" s="46"/>
      <c r="L139" s="46"/>
      <c r="M139" s="46">
        <v>300</v>
      </c>
      <c r="N139" s="46">
        <v>300</v>
      </c>
      <c r="O139" s="49">
        <f t="shared" si="103"/>
        <v>0</v>
      </c>
      <c r="P139" s="49">
        <f t="shared" si="103"/>
        <v>0</v>
      </c>
      <c r="Q139" s="49">
        <f t="shared" si="103"/>
        <v>0</v>
      </c>
      <c r="R139" s="49">
        <f t="shared" si="103"/>
        <v>45000</v>
      </c>
      <c r="S139" s="49">
        <f t="shared" si="103"/>
        <v>45000</v>
      </c>
      <c r="T139" s="49">
        <f t="shared" si="104"/>
        <v>90000</v>
      </c>
      <c r="V139" s="88" t="s">
        <v>195</v>
      </c>
      <c r="W139" t="s">
        <v>326</v>
      </c>
    </row>
    <row r="140" spans="2:23" ht="42" customHeight="1">
      <c r="B140" s="275"/>
      <c r="C140" s="277"/>
      <c r="D140" s="276" t="s">
        <v>327</v>
      </c>
      <c r="E140" s="46" t="s">
        <v>160</v>
      </c>
      <c r="F140" s="46" t="s">
        <v>163</v>
      </c>
      <c r="G140" s="47" t="s">
        <v>328</v>
      </c>
      <c r="H140" s="48" t="s">
        <v>273</v>
      </c>
      <c r="I140" s="49">
        <v>15000</v>
      </c>
      <c r="J140" s="46"/>
      <c r="K140" s="46">
        <v>1</v>
      </c>
      <c r="L140" s="46">
        <v>0.2</v>
      </c>
      <c r="M140" s="46">
        <v>0.2</v>
      </c>
      <c r="N140" s="46">
        <v>0.2</v>
      </c>
      <c r="O140" s="49">
        <f t="shared" si="103"/>
        <v>0</v>
      </c>
      <c r="P140" s="49">
        <f t="shared" si="103"/>
        <v>15000</v>
      </c>
      <c r="Q140" s="49">
        <f t="shared" si="103"/>
        <v>3000</v>
      </c>
      <c r="R140" s="49">
        <f t="shared" si="103"/>
        <v>3000</v>
      </c>
      <c r="S140" s="49">
        <f t="shared" si="103"/>
        <v>3000</v>
      </c>
      <c r="T140" s="49">
        <f t="shared" si="104"/>
        <v>24000</v>
      </c>
      <c r="V140" s="88" t="s">
        <v>329</v>
      </c>
    </row>
    <row r="141" spans="2:23" ht="45" customHeight="1">
      <c r="B141" s="275"/>
      <c r="C141" s="277"/>
      <c r="D141" s="277"/>
      <c r="E141" s="46" t="s">
        <v>160</v>
      </c>
      <c r="F141" s="46" t="s">
        <v>165</v>
      </c>
      <c r="G141" s="47" t="s">
        <v>316</v>
      </c>
      <c r="H141" s="48" t="s">
        <v>194</v>
      </c>
      <c r="I141" s="49">
        <v>950</v>
      </c>
      <c r="J141" s="46">
        <v>10</v>
      </c>
      <c r="K141" s="46">
        <v>20</v>
      </c>
      <c r="L141" s="46">
        <v>20</v>
      </c>
      <c r="M141" s="46">
        <v>20</v>
      </c>
      <c r="N141" s="46">
        <v>20</v>
      </c>
      <c r="O141" s="49">
        <f t="shared" si="103"/>
        <v>9500</v>
      </c>
      <c r="P141" s="49">
        <f t="shared" si="103"/>
        <v>19000</v>
      </c>
      <c r="Q141" s="49">
        <f t="shared" si="103"/>
        <v>19000</v>
      </c>
      <c r="R141" s="49">
        <f t="shared" si="103"/>
        <v>19000</v>
      </c>
      <c r="S141" s="49">
        <f t="shared" si="103"/>
        <v>19000</v>
      </c>
      <c r="T141" s="49">
        <f t="shared" si="104"/>
        <v>85500</v>
      </c>
      <c r="V141" s="88" t="s">
        <v>195</v>
      </c>
    </row>
    <row r="142" spans="2:23" ht="28.5">
      <c r="B142" s="275"/>
      <c r="C142" s="278"/>
      <c r="D142" s="278"/>
      <c r="E142" s="46" t="s">
        <v>160</v>
      </c>
      <c r="F142" s="46" t="s">
        <v>163</v>
      </c>
      <c r="G142" s="47" t="s">
        <v>318</v>
      </c>
      <c r="H142" s="48" t="s">
        <v>194</v>
      </c>
      <c r="I142" s="49">
        <v>150</v>
      </c>
      <c r="J142" s="46">
        <v>120</v>
      </c>
      <c r="K142" s="46">
        <v>120</v>
      </c>
      <c r="L142" s="46">
        <v>120</v>
      </c>
      <c r="M142" s="46">
        <v>120</v>
      </c>
      <c r="N142" s="46">
        <v>120</v>
      </c>
      <c r="O142" s="49">
        <f t="shared" si="103"/>
        <v>18000</v>
      </c>
      <c r="P142" s="49">
        <f t="shared" si="103"/>
        <v>18000</v>
      </c>
      <c r="Q142" s="49">
        <f t="shared" si="103"/>
        <v>18000</v>
      </c>
      <c r="R142" s="49">
        <f t="shared" si="103"/>
        <v>18000</v>
      </c>
      <c r="S142" s="49">
        <f t="shared" si="103"/>
        <v>18000</v>
      </c>
      <c r="T142" s="49">
        <f t="shared" si="104"/>
        <v>90000</v>
      </c>
      <c r="V142" s="88" t="s">
        <v>203</v>
      </c>
    </row>
    <row r="143" spans="2:23">
      <c r="B143" s="275"/>
      <c r="C143" s="56" t="s">
        <v>330</v>
      </c>
      <c r="D143" s="56"/>
      <c r="E143" s="56"/>
      <c r="F143" s="56"/>
      <c r="G143" s="57"/>
      <c r="H143" s="58"/>
      <c r="I143" s="58"/>
      <c r="J143" s="59"/>
      <c r="K143" s="59"/>
      <c r="L143" s="59"/>
      <c r="M143" s="59"/>
      <c r="N143" s="59"/>
      <c r="O143" s="61">
        <f t="shared" ref="O143:T143" si="124">SUM(O125:O142)</f>
        <v>27500</v>
      </c>
      <c r="P143" s="61">
        <f t="shared" si="124"/>
        <v>135500</v>
      </c>
      <c r="Q143" s="61">
        <f t="shared" si="124"/>
        <v>236700</v>
      </c>
      <c r="R143" s="61">
        <f t="shared" si="124"/>
        <v>288100</v>
      </c>
      <c r="S143" s="61">
        <f t="shared" si="124"/>
        <v>156800</v>
      </c>
      <c r="T143" s="61">
        <f t="shared" si="124"/>
        <v>844600</v>
      </c>
    </row>
    <row r="144" spans="2:23" ht="24.75" customHeight="1">
      <c r="B144" s="275" t="s">
        <v>331</v>
      </c>
      <c r="C144" s="83"/>
      <c r="D144" s="83"/>
      <c r="E144" s="46" t="s">
        <v>160</v>
      </c>
      <c r="F144" s="46" t="s">
        <v>161</v>
      </c>
      <c r="G144" s="47" t="s">
        <v>332</v>
      </c>
      <c r="H144" s="48" t="s">
        <v>333</v>
      </c>
      <c r="I144" s="49">
        <v>5000</v>
      </c>
      <c r="J144" s="46">
        <v>12</v>
      </c>
      <c r="K144" s="46">
        <v>12</v>
      </c>
      <c r="L144" s="46">
        <v>12</v>
      </c>
      <c r="M144" s="46">
        <v>12</v>
      </c>
      <c r="N144" s="46">
        <v>12</v>
      </c>
      <c r="O144" s="49">
        <f t="shared" si="103"/>
        <v>60000</v>
      </c>
      <c r="P144" s="49">
        <f t="shared" si="103"/>
        <v>60000</v>
      </c>
      <c r="Q144" s="49">
        <f t="shared" si="103"/>
        <v>60000</v>
      </c>
      <c r="R144" s="49">
        <f t="shared" si="103"/>
        <v>60000</v>
      </c>
      <c r="S144" s="49">
        <f t="shared" si="103"/>
        <v>60000</v>
      </c>
      <c r="T144" s="49">
        <f t="shared" si="104"/>
        <v>300000</v>
      </c>
      <c r="V144" s="88" t="s">
        <v>195</v>
      </c>
    </row>
    <row r="145" spans="2:22" ht="28.5">
      <c r="B145" s="275"/>
      <c r="C145" s="83"/>
      <c r="D145" s="83"/>
      <c r="E145" s="46" t="s">
        <v>160</v>
      </c>
      <c r="F145" s="46" t="s">
        <v>161</v>
      </c>
      <c r="G145" s="47" t="s">
        <v>334</v>
      </c>
      <c r="H145" s="48" t="s">
        <v>333</v>
      </c>
      <c r="I145" s="49">
        <v>3500</v>
      </c>
      <c r="J145" s="46">
        <v>6</v>
      </c>
      <c r="K145" s="46">
        <v>6</v>
      </c>
      <c r="L145" s="46">
        <v>6</v>
      </c>
      <c r="M145" s="46">
        <v>6</v>
      </c>
      <c r="N145" s="46">
        <v>6</v>
      </c>
      <c r="O145" s="49">
        <f t="shared" si="103"/>
        <v>21000</v>
      </c>
      <c r="P145" s="49">
        <f t="shared" si="103"/>
        <v>21000</v>
      </c>
      <c r="Q145" s="49">
        <f t="shared" si="103"/>
        <v>21000</v>
      </c>
      <c r="R145" s="49">
        <f t="shared" si="103"/>
        <v>21000</v>
      </c>
      <c r="S145" s="49">
        <f t="shared" si="103"/>
        <v>21000</v>
      </c>
      <c r="T145" s="49">
        <f t="shared" si="104"/>
        <v>105000</v>
      </c>
      <c r="V145" s="88" t="s">
        <v>195</v>
      </c>
    </row>
    <row r="146" spans="2:22" ht="28.5">
      <c r="B146" s="275"/>
      <c r="C146" s="83"/>
      <c r="D146" s="83"/>
      <c r="E146" s="46" t="s">
        <v>160</v>
      </c>
      <c r="F146" s="46" t="s">
        <v>161</v>
      </c>
      <c r="G146" s="47" t="s">
        <v>335</v>
      </c>
      <c r="H146" s="48" t="s">
        <v>333</v>
      </c>
      <c r="I146" s="49">
        <v>3000</v>
      </c>
      <c r="J146" s="46">
        <v>12</v>
      </c>
      <c r="K146" s="46">
        <v>12</v>
      </c>
      <c r="L146" s="46">
        <v>12</v>
      </c>
      <c r="M146" s="46">
        <v>12</v>
      </c>
      <c r="N146" s="46">
        <v>12</v>
      </c>
      <c r="O146" s="49">
        <f t="shared" si="103"/>
        <v>36000</v>
      </c>
      <c r="P146" s="49">
        <f t="shared" si="103"/>
        <v>36000</v>
      </c>
      <c r="Q146" s="49">
        <f t="shared" si="103"/>
        <v>36000</v>
      </c>
      <c r="R146" s="49">
        <f t="shared" si="103"/>
        <v>36000</v>
      </c>
      <c r="S146" s="49">
        <f t="shared" si="103"/>
        <v>36000</v>
      </c>
      <c r="T146" s="49">
        <f t="shared" si="104"/>
        <v>180000</v>
      </c>
      <c r="V146" s="88" t="s">
        <v>195</v>
      </c>
    </row>
    <row r="147" spans="2:22" ht="28.5">
      <c r="B147" s="275"/>
      <c r="C147" s="83"/>
      <c r="D147" s="83"/>
      <c r="E147" s="46" t="s">
        <v>160</v>
      </c>
      <c r="F147" s="46" t="s">
        <v>161</v>
      </c>
      <c r="G147" s="47" t="s">
        <v>336</v>
      </c>
      <c r="H147" s="48" t="s">
        <v>333</v>
      </c>
      <c r="I147" s="49">
        <v>3000</v>
      </c>
      <c r="J147" s="46">
        <v>6</v>
      </c>
      <c r="K147" s="46">
        <v>12</v>
      </c>
      <c r="L147" s="46">
        <v>12</v>
      </c>
      <c r="M147" s="46">
        <v>12</v>
      </c>
      <c r="N147" s="46">
        <v>12</v>
      </c>
      <c r="O147" s="49">
        <f t="shared" si="103"/>
        <v>18000</v>
      </c>
      <c r="P147" s="49">
        <f t="shared" si="103"/>
        <v>36000</v>
      </c>
      <c r="Q147" s="49">
        <f t="shared" si="103"/>
        <v>36000</v>
      </c>
      <c r="R147" s="49">
        <f t="shared" si="103"/>
        <v>36000</v>
      </c>
      <c r="S147" s="49">
        <f t="shared" si="103"/>
        <v>36000</v>
      </c>
      <c r="T147" s="49">
        <f t="shared" si="104"/>
        <v>162000</v>
      </c>
      <c r="V147" s="88" t="s">
        <v>195</v>
      </c>
    </row>
    <row r="148" spans="2:22" ht="28.5">
      <c r="B148" s="275"/>
      <c r="C148" s="83"/>
      <c r="D148" s="83"/>
      <c r="E148" s="46" t="s">
        <v>160</v>
      </c>
      <c r="F148" s="46" t="s">
        <v>161</v>
      </c>
      <c r="G148" s="47" t="s">
        <v>337</v>
      </c>
      <c r="H148" s="48" t="s">
        <v>333</v>
      </c>
      <c r="I148" s="49">
        <v>3500</v>
      </c>
      <c r="J148" s="46">
        <v>8</v>
      </c>
      <c r="K148" s="46">
        <v>8</v>
      </c>
      <c r="L148" s="46">
        <v>3</v>
      </c>
      <c r="M148" s="46">
        <v>3</v>
      </c>
      <c r="N148" s="46">
        <v>3</v>
      </c>
      <c r="O148" s="49">
        <f t="shared" ref="O148" si="125">$I148*J148</f>
        <v>28000</v>
      </c>
      <c r="P148" s="49">
        <f t="shared" ref="P148" si="126">$I148*K148</f>
        <v>28000</v>
      </c>
      <c r="Q148" s="49">
        <f t="shared" ref="Q148" si="127">$I148*L148</f>
        <v>10500</v>
      </c>
      <c r="R148" s="49">
        <f t="shared" ref="R148" si="128">$I148*M148</f>
        <v>10500</v>
      </c>
      <c r="S148" s="49">
        <f t="shared" ref="S148" si="129">$I148*N148</f>
        <v>10500</v>
      </c>
      <c r="T148" s="49">
        <f t="shared" ref="T148" si="130">SUM(O148:S148)</f>
        <v>87500</v>
      </c>
      <c r="V148" s="88" t="s">
        <v>195</v>
      </c>
    </row>
    <row r="149" spans="2:22" ht="28.5">
      <c r="B149" s="275"/>
      <c r="C149" s="83"/>
      <c r="D149" s="83"/>
      <c r="E149" s="46" t="s">
        <v>160</v>
      </c>
      <c r="F149" s="46" t="s">
        <v>163</v>
      </c>
      <c r="G149" s="47" t="s">
        <v>338</v>
      </c>
      <c r="H149" s="48" t="s">
        <v>273</v>
      </c>
      <c r="I149" s="49">
        <v>8000</v>
      </c>
      <c r="J149" s="46">
        <v>1</v>
      </c>
      <c r="K149" s="46">
        <v>1</v>
      </c>
      <c r="L149" s="46">
        <v>1</v>
      </c>
      <c r="M149" s="46">
        <v>1</v>
      </c>
      <c r="N149" s="46">
        <v>1</v>
      </c>
      <c r="O149" s="49">
        <f t="shared" si="103"/>
        <v>8000</v>
      </c>
      <c r="P149" s="49">
        <f t="shared" si="103"/>
        <v>8000</v>
      </c>
      <c r="Q149" s="49">
        <f t="shared" si="103"/>
        <v>8000</v>
      </c>
      <c r="R149" s="49">
        <f t="shared" si="103"/>
        <v>8000</v>
      </c>
      <c r="S149" s="49">
        <f t="shared" si="103"/>
        <v>8000</v>
      </c>
      <c r="T149" s="49">
        <f t="shared" si="104"/>
        <v>40000</v>
      </c>
      <c r="V149" s="88" t="s">
        <v>195</v>
      </c>
    </row>
    <row r="150" spans="2:22" ht="42.75">
      <c r="B150" s="275"/>
      <c r="C150" s="83"/>
      <c r="D150" s="83"/>
      <c r="E150" s="46" t="s">
        <v>160</v>
      </c>
      <c r="F150" s="46" t="s">
        <v>165</v>
      </c>
      <c r="G150" s="47" t="s">
        <v>339</v>
      </c>
      <c r="H150" s="48" t="s">
        <v>270</v>
      </c>
      <c r="I150" s="49">
        <v>950</v>
      </c>
      <c r="J150" s="46">
        <v>15</v>
      </c>
      <c r="K150" s="46"/>
      <c r="L150" s="46">
        <v>60</v>
      </c>
      <c r="M150" s="46"/>
      <c r="N150" s="46">
        <v>90</v>
      </c>
      <c r="O150" s="49">
        <f t="shared" si="103"/>
        <v>14250</v>
      </c>
      <c r="P150" s="49">
        <f t="shared" si="103"/>
        <v>0</v>
      </c>
      <c r="Q150" s="49">
        <f t="shared" si="103"/>
        <v>57000</v>
      </c>
      <c r="R150" s="49">
        <f t="shared" si="103"/>
        <v>0</v>
      </c>
      <c r="S150" s="49">
        <f t="shared" si="103"/>
        <v>85500</v>
      </c>
      <c r="T150" s="49">
        <f t="shared" si="104"/>
        <v>156750</v>
      </c>
      <c r="V150" s="88" t="s">
        <v>195</v>
      </c>
    </row>
    <row r="151" spans="2:22" ht="28.5">
      <c r="B151" s="275"/>
      <c r="C151" s="83"/>
      <c r="D151" s="83"/>
      <c r="E151" s="46" t="s">
        <v>160</v>
      </c>
      <c r="F151" s="46" t="s">
        <v>166</v>
      </c>
      <c r="G151" s="47" t="s">
        <v>340</v>
      </c>
      <c r="H151" s="48" t="s">
        <v>273</v>
      </c>
      <c r="I151" s="49">
        <v>10000</v>
      </c>
      <c r="J151" s="46">
        <v>1</v>
      </c>
      <c r="K151" s="46">
        <v>0.5</v>
      </c>
      <c r="L151" s="46">
        <v>0.5</v>
      </c>
      <c r="M151" s="46">
        <v>0.5</v>
      </c>
      <c r="N151" s="46">
        <v>0.5</v>
      </c>
      <c r="O151" s="49">
        <f t="shared" ref="O151:S154" si="131">$I151*J151</f>
        <v>10000</v>
      </c>
      <c r="P151" s="49">
        <f t="shared" si="131"/>
        <v>5000</v>
      </c>
      <c r="Q151" s="49">
        <f t="shared" si="131"/>
        <v>5000</v>
      </c>
      <c r="R151" s="49">
        <f t="shared" si="131"/>
        <v>5000</v>
      </c>
      <c r="S151" s="49">
        <f t="shared" si="131"/>
        <v>5000</v>
      </c>
      <c r="T151" s="49">
        <f t="shared" si="104"/>
        <v>30000</v>
      </c>
      <c r="V151" s="88" t="s">
        <v>195</v>
      </c>
    </row>
    <row r="152" spans="2:22" ht="42.75">
      <c r="B152" s="275"/>
      <c r="C152" s="83"/>
      <c r="D152" s="83"/>
      <c r="E152" s="46" t="s">
        <v>160</v>
      </c>
      <c r="F152" s="46" t="s">
        <v>168</v>
      </c>
      <c r="G152" s="47" t="s">
        <v>341</v>
      </c>
      <c r="H152" s="48" t="s">
        <v>342</v>
      </c>
      <c r="I152" s="49">
        <v>5000</v>
      </c>
      <c r="J152" s="46">
        <v>1</v>
      </c>
      <c r="K152" s="46">
        <v>1</v>
      </c>
      <c r="L152" s="46">
        <v>1</v>
      </c>
      <c r="M152" s="46">
        <v>1</v>
      </c>
      <c r="N152" s="46">
        <v>1</v>
      </c>
      <c r="O152" s="49">
        <f t="shared" si="131"/>
        <v>5000</v>
      </c>
      <c r="P152" s="49">
        <f t="shared" si="131"/>
        <v>5000</v>
      </c>
      <c r="Q152" s="49">
        <f t="shared" si="131"/>
        <v>5000</v>
      </c>
      <c r="R152" s="49">
        <f t="shared" si="131"/>
        <v>5000</v>
      </c>
      <c r="S152" s="49">
        <f t="shared" si="131"/>
        <v>5000</v>
      </c>
      <c r="T152" s="49">
        <f t="shared" si="104"/>
        <v>25000</v>
      </c>
      <c r="V152" s="88" t="s">
        <v>195</v>
      </c>
    </row>
    <row r="153" spans="2:22" ht="28.5">
      <c r="B153" s="275"/>
      <c r="C153" s="83"/>
      <c r="D153" s="83"/>
      <c r="E153" s="46" t="s">
        <v>160</v>
      </c>
      <c r="F153" s="46" t="s">
        <v>169</v>
      </c>
      <c r="G153" s="47" t="s">
        <v>343</v>
      </c>
      <c r="H153" s="48" t="s">
        <v>342</v>
      </c>
      <c r="I153" s="49">
        <v>5000</v>
      </c>
      <c r="J153" s="46">
        <v>1</v>
      </c>
      <c r="K153" s="46">
        <v>1</v>
      </c>
      <c r="L153" s="46">
        <v>1</v>
      </c>
      <c r="M153" s="46">
        <v>1</v>
      </c>
      <c r="N153" s="46">
        <v>1</v>
      </c>
      <c r="O153" s="49">
        <f t="shared" si="131"/>
        <v>5000</v>
      </c>
      <c r="P153" s="49">
        <f t="shared" si="131"/>
        <v>5000</v>
      </c>
      <c r="Q153" s="49">
        <f t="shared" si="131"/>
        <v>5000</v>
      </c>
      <c r="R153" s="49">
        <f t="shared" si="131"/>
        <v>5000</v>
      </c>
      <c r="S153" s="49">
        <f t="shared" si="131"/>
        <v>5000</v>
      </c>
      <c r="T153" s="49">
        <f t="shared" si="104"/>
        <v>25000</v>
      </c>
      <c r="V153" s="88" t="s">
        <v>195</v>
      </c>
    </row>
    <row r="154" spans="2:22">
      <c r="B154" s="275"/>
      <c r="C154" s="83"/>
      <c r="D154" s="83"/>
      <c r="E154" s="46"/>
      <c r="F154" s="46"/>
      <c r="G154" s="47"/>
      <c r="H154" s="48"/>
      <c r="I154" s="49"/>
      <c r="J154" s="46"/>
      <c r="K154" s="46"/>
      <c r="L154" s="46"/>
      <c r="M154" s="46"/>
      <c r="N154" s="46"/>
      <c r="O154" s="49">
        <f t="shared" si="131"/>
        <v>0</v>
      </c>
      <c r="P154" s="49">
        <f t="shared" si="131"/>
        <v>0</v>
      </c>
      <c r="Q154" s="49">
        <f t="shared" si="131"/>
        <v>0</v>
      </c>
      <c r="R154" s="49">
        <f t="shared" si="131"/>
        <v>0</v>
      </c>
      <c r="S154" s="49">
        <f t="shared" si="131"/>
        <v>0</v>
      </c>
      <c r="T154" s="49">
        <f t="shared" si="104"/>
        <v>0</v>
      </c>
    </row>
    <row r="155" spans="2:22" ht="28.5">
      <c r="B155" s="275"/>
      <c r="C155" s="56" t="s">
        <v>344</v>
      </c>
      <c r="D155" s="56"/>
      <c r="E155" s="59"/>
      <c r="F155" s="59"/>
      <c r="G155" s="57"/>
      <c r="H155" s="59"/>
      <c r="I155" s="59"/>
      <c r="J155" s="59"/>
      <c r="K155" s="59"/>
      <c r="L155" s="59"/>
      <c r="M155" s="59"/>
      <c r="N155" s="59"/>
      <c r="O155" s="61">
        <f>SUM(O144:O154)</f>
        <v>205250</v>
      </c>
      <c r="P155" s="61">
        <f t="shared" ref="P155:S155" si="132">SUM(P144:P154)</f>
        <v>204000</v>
      </c>
      <c r="Q155" s="61">
        <f t="shared" si="132"/>
        <v>243500</v>
      </c>
      <c r="R155" s="61">
        <f t="shared" si="132"/>
        <v>186500</v>
      </c>
      <c r="S155" s="61">
        <f t="shared" si="132"/>
        <v>272000</v>
      </c>
      <c r="T155" s="61">
        <f>SUM(T144:T154)</f>
        <v>1111250</v>
      </c>
    </row>
    <row r="156" spans="2:22">
      <c r="B156" s="83"/>
      <c r="C156" s="56"/>
      <c r="D156" s="56"/>
      <c r="E156" s="59"/>
      <c r="F156" s="59"/>
      <c r="G156" s="57"/>
      <c r="H156" s="59"/>
      <c r="I156" s="59"/>
      <c r="J156" s="59"/>
      <c r="K156" s="59"/>
      <c r="L156" s="59"/>
      <c r="M156" s="59"/>
      <c r="N156" s="59"/>
      <c r="O156" s="59"/>
      <c r="P156" s="59"/>
      <c r="Q156" s="59"/>
      <c r="R156" s="59"/>
      <c r="S156" s="59"/>
      <c r="T156" s="59"/>
    </row>
    <row r="157" spans="2:22">
      <c r="B157" s="62" t="s">
        <v>345</v>
      </c>
      <c r="C157" s="62"/>
      <c r="D157" s="63"/>
      <c r="E157" s="62"/>
      <c r="F157" s="64"/>
      <c r="G157" s="65"/>
      <c r="H157" s="62"/>
      <c r="I157" s="62"/>
      <c r="J157" s="62"/>
      <c r="K157" s="62"/>
      <c r="L157" s="62"/>
      <c r="M157" s="62"/>
      <c r="N157" s="62"/>
      <c r="O157" s="62"/>
      <c r="P157" s="62"/>
      <c r="Q157" s="62"/>
      <c r="R157" s="62"/>
      <c r="S157" s="62"/>
      <c r="T157" s="66">
        <v>2028651</v>
      </c>
      <c r="V157" t="s">
        <v>346</v>
      </c>
    </row>
    <row r="158" spans="2:22">
      <c r="B158" s="248" t="s">
        <v>347</v>
      </c>
      <c r="C158" s="248"/>
      <c r="D158" s="249"/>
      <c r="E158" s="248"/>
      <c r="F158" s="250"/>
      <c r="G158" s="251"/>
      <c r="H158" s="248"/>
      <c r="I158" s="248"/>
      <c r="J158" s="248"/>
      <c r="K158" s="248"/>
      <c r="L158" s="248"/>
      <c r="M158" s="248"/>
      <c r="N158" s="248"/>
      <c r="O158" s="248"/>
      <c r="P158" s="248"/>
      <c r="Q158" s="248"/>
      <c r="R158" s="248"/>
      <c r="S158" s="248"/>
      <c r="T158" s="252">
        <f>C176</f>
        <v>3302349.4895330183</v>
      </c>
      <c r="V158" t="s">
        <v>348</v>
      </c>
    </row>
    <row r="159" spans="2:22">
      <c r="B159" s="62" t="s">
        <v>349</v>
      </c>
      <c r="C159" s="62"/>
      <c r="D159" s="63"/>
      <c r="E159" s="62"/>
      <c r="F159" s="64"/>
      <c r="G159" s="65"/>
      <c r="H159" s="62"/>
      <c r="I159" s="62"/>
      <c r="J159" s="62"/>
      <c r="K159" s="62"/>
      <c r="L159" s="62"/>
      <c r="M159" s="62"/>
      <c r="N159" s="62"/>
      <c r="O159" s="62"/>
      <c r="P159" s="62"/>
      <c r="Q159" s="62"/>
      <c r="R159" s="62"/>
      <c r="S159" s="62"/>
      <c r="T159" s="66">
        <f>T124+T143+T155+T158+T157</f>
        <v>23896678.209160898</v>
      </c>
      <c r="V159" t="s">
        <v>350</v>
      </c>
    </row>
    <row r="160" spans="2:22">
      <c r="B160" s="62" t="s">
        <v>351</v>
      </c>
      <c r="C160" s="62"/>
      <c r="D160" s="63"/>
      <c r="E160" s="62"/>
      <c r="F160" s="64"/>
      <c r="G160" s="65"/>
      <c r="H160" s="62"/>
      <c r="I160" s="62"/>
      <c r="J160" s="62"/>
      <c r="K160" s="62"/>
      <c r="L160" s="62"/>
      <c r="M160" s="62"/>
      <c r="N160" s="62"/>
      <c r="O160" s="62"/>
      <c r="P160" s="62"/>
      <c r="Q160" s="62"/>
      <c r="R160" s="62"/>
      <c r="S160" s="62"/>
      <c r="T160" s="66">
        <f ca="1">SUMIF(E20:E156, "GCF",T20:T155)</f>
        <v>18498177.71962788</v>
      </c>
      <c r="V160" t="s">
        <v>195</v>
      </c>
    </row>
    <row r="161" spans="2:22">
      <c r="B161" s="62" t="s">
        <v>352</v>
      </c>
      <c r="C161" s="62"/>
      <c r="D161" s="63"/>
      <c r="E161" s="62"/>
      <c r="F161" s="64"/>
      <c r="G161" s="65"/>
      <c r="H161" s="62"/>
      <c r="I161" s="62"/>
      <c r="J161" s="62"/>
      <c r="K161" s="62"/>
      <c r="L161" s="62"/>
      <c r="M161" s="62"/>
      <c r="N161" s="62"/>
      <c r="O161" s="62"/>
      <c r="P161" s="62"/>
      <c r="Q161" s="62"/>
      <c r="R161" s="62"/>
      <c r="S161" s="62"/>
      <c r="T161" s="66">
        <f>SUMIF(E20:E156, "Country", T20:T156)</f>
        <v>67500</v>
      </c>
      <c r="V161" t="s">
        <v>195</v>
      </c>
    </row>
    <row r="162" spans="2:22">
      <c r="B162" s="62" t="s">
        <v>353</v>
      </c>
      <c r="C162" s="62"/>
      <c r="D162" s="63"/>
      <c r="E162" s="62"/>
      <c r="F162" s="64"/>
      <c r="G162" s="65"/>
      <c r="H162" s="62"/>
      <c r="I162" s="62"/>
      <c r="J162" s="62"/>
      <c r="K162" s="62"/>
      <c r="L162" s="62"/>
      <c r="M162" s="62"/>
      <c r="N162" s="62"/>
      <c r="O162" s="62"/>
      <c r="P162" s="62"/>
      <c r="Q162" s="62"/>
      <c r="R162" s="62"/>
      <c r="S162" s="62"/>
      <c r="T162" s="66">
        <f>T158+T161+T157</f>
        <v>5398500.4895330183</v>
      </c>
    </row>
    <row r="163" spans="2:22">
      <c r="B163" s="62" t="s">
        <v>354</v>
      </c>
      <c r="C163" s="62"/>
      <c r="D163" s="63"/>
      <c r="E163" s="62"/>
      <c r="F163" s="64"/>
      <c r="G163" s="65"/>
      <c r="H163" s="62"/>
      <c r="I163" s="62"/>
      <c r="J163" s="62"/>
      <c r="K163" s="62"/>
      <c r="L163" s="62"/>
      <c r="M163" s="62"/>
      <c r="N163" s="62"/>
      <c r="O163" s="62"/>
      <c r="P163" s="62"/>
      <c r="Q163" s="62"/>
      <c r="R163" s="62"/>
      <c r="S163" s="62"/>
      <c r="T163" s="66">
        <f>SUMIF(E20:E156, "AE", T20:T156)</f>
        <v>0</v>
      </c>
    </row>
    <row r="169" spans="2:22" ht="15">
      <c r="B169" s="70" t="s">
        <v>355</v>
      </c>
      <c r="C169" s="70"/>
      <c r="D169" s="71"/>
    </row>
    <row r="170" spans="2:22" ht="120">
      <c r="B170" s="72" t="s">
        <v>356</v>
      </c>
      <c r="C170" s="73">
        <f>SUM(E7+E8+E10+E11+E12+E13+E14)</f>
        <v>17249927.71962788</v>
      </c>
      <c r="D170" s="67" t="s">
        <v>357</v>
      </c>
    </row>
    <row r="171" spans="2:22" ht="30">
      <c r="B171" s="72" t="s">
        <v>358</v>
      </c>
      <c r="C171" s="73">
        <f>C170*0.18</f>
        <v>3104986.9895330183</v>
      </c>
    </row>
    <row r="172" spans="2:22" ht="15">
      <c r="B172" s="72"/>
      <c r="C172" s="73"/>
    </row>
    <row r="173" spans="2:22" ht="60">
      <c r="B173" s="72" t="s">
        <v>359</v>
      </c>
      <c r="C173" s="74">
        <f>E9</f>
        <v>1315750</v>
      </c>
      <c r="D173" s="67" t="s">
        <v>357</v>
      </c>
    </row>
    <row r="174" spans="2:22" ht="30">
      <c r="B174" s="72" t="s">
        <v>360</v>
      </c>
      <c r="C174" s="75">
        <f>0.15*C173</f>
        <v>197362.5</v>
      </c>
    </row>
    <row r="175" spans="2:22">
      <c r="B175" s="15"/>
    </row>
    <row r="176" spans="2:22" ht="45">
      <c r="B176" s="72" t="s">
        <v>361</v>
      </c>
      <c r="C176" s="76">
        <f>C171+C174</f>
        <v>3302349.4895330183</v>
      </c>
    </row>
  </sheetData>
  <mergeCells count="22">
    <mergeCell ref="B20:B124"/>
    <mergeCell ref="C20:C105"/>
    <mergeCell ref="D20:D35"/>
    <mergeCell ref="D36:D53"/>
    <mergeCell ref="D54:D64"/>
    <mergeCell ref="D65:D70"/>
    <mergeCell ref="D71:D79"/>
    <mergeCell ref="D80:D90"/>
    <mergeCell ref="D91:D105"/>
    <mergeCell ref="C106:C123"/>
    <mergeCell ref="D106:D111"/>
    <mergeCell ref="D122:D123"/>
    <mergeCell ref="D112:D121"/>
    <mergeCell ref="B144:B155"/>
    <mergeCell ref="B125:B143"/>
    <mergeCell ref="C125:C137"/>
    <mergeCell ref="D125:D127"/>
    <mergeCell ref="D128:D133"/>
    <mergeCell ref="D134:D137"/>
    <mergeCell ref="C138:C142"/>
    <mergeCell ref="D138:D139"/>
    <mergeCell ref="D140:D142"/>
  </mergeCells>
  <dataValidations count="4">
    <dataValidation type="list" allowBlank="1" showInputMessage="1" showErrorMessage="1" sqref="E20:E35 E154" xr:uid="{62A12905-DF07-4864-B943-5F5A34C33B98}">
      <formula1>$C$7:$C$9</formula1>
    </dataValidation>
    <dataValidation type="list" allowBlank="1" showInputMessage="1" showErrorMessage="1" sqref="F20:F35 F154" xr:uid="{0C037F24-450B-4A96-AAD8-416739408410}">
      <formula1>$AA$2:$AA$15</formula1>
    </dataValidation>
    <dataValidation type="list" allowBlank="1" showInputMessage="1" showErrorMessage="1" sqref="E144:E153 E125:E142 E36:E123" xr:uid="{6635D50C-CEB4-4EA7-B9AF-DF487967FBFD}">
      <formula1>$Y$2:$Y$4</formula1>
    </dataValidation>
    <dataValidation type="list" allowBlank="1" showInputMessage="1" showErrorMessage="1" sqref="F144:F153 F36:F123 F125:F142" xr:uid="{F20317A5-AD79-4928-94CD-157137AD4A30}">
      <formula1>$Z$2:$Z$9</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94F5F-AA7A-416C-B6E4-58263D44ED15}">
  <sheetPr>
    <tabColor theme="6" tint="0.39997558519241921"/>
  </sheetPr>
  <dimension ref="A1:AU202"/>
  <sheetViews>
    <sheetView showGridLines="0" showZeros="0" topLeftCell="A176" zoomScale="70" zoomScaleNormal="70" workbookViewId="0">
      <pane xSplit="4" topLeftCell="E1" activePane="topRight" state="frozen"/>
      <selection activeCell="A49" sqref="A49"/>
      <selection pane="topRight" activeCell="B169" sqref="B169:F189"/>
    </sheetView>
  </sheetViews>
  <sheetFormatPr defaultRowHeight="14.25"/>
  <cols>
    <col min="1" max="1" width="5.375" customWidth="1"/>
    <col min="2" max="2" width="32.125" customWidth="1"/>
    <col min="3" max="3" width="24.125" customWidth="1"/>
    <col min="4" max="4" width="29.125" style="90" customWidth="1"/>
    <col min="5" max="5" width="40.125" bestFit="1" customWidth="1"/>
    <col min="6" max="6" width="18.125" customWidth="1"/>
    <col min="7" max="7" width="19.625" customWidth="1"/>
    <col min="8" max="8" width="16.125" customWidth="1"/>
    <col min="9" max="9" width="8" customWidth="1"/>
    <col min="10" max="10" width="8.875" customWidth="1"/>
    <col min="11" max="11" width="8" customWidth="1"/>
    <col min="12" max="12" width="14.875" customWidth="1"/>
    <col min="13" max="17" width="17.875" customWidth="1"/>
    <col min="18" max="18" width="19" bestFit="1" customWidth="1"/>
    <col min="19" max="47" width="8" customWidth="1"/>
  </cols>
  <sheetData>
    <row r="1" spans="1:47" ht="45" customHeight="1">
      <c r="A1" s="1"/>
      <c r="D1"/>
    </row>
    <row r="2" spans="1:47" ht="18">
      <c r="B2" s="3" t="s">
        <v>362</v>
      </c>
      <c r="D2"/>
    </row>
    <row r="3" spans="1:47">
      <c r="D3"/>
    </row>
    <row r="4" spans="1:47" ht="18">
      <c r="B4" s="126"/>
      <c r="C4" s="127"/>
      <c r="D4" s="127"/>
      <c r="E4" s="127"/>
      <c r="F4" s="127"/>
      <c r="G4" s="127"/>
      <c r="H4" s="127"/>
      <c r="I4" s="127"/>
      <c r="J4" s="127"/>
      <c r="K4" s="127"/>
      <c r="L4" s="127"/>
      <c r="M4" s="127"/>
      <c r="N4" s="127"/>
      <c r="O4" s="127"/>
      <c r="P4" s="127"/>
    </row>
    <row r="5" spans="1:47" ht="45" customHeight="1">
      <c r="A5" s="1"/>
      <c r="B5" s="1"/>
      <c r="C5" s="1"/>
    </row>
    <row r="6" spans="1:47" ht="18">
      <c r="B6" s="91" t="s">
        <v>363</v>
      </c>
      <c r="F6" s="14" t="s">
        <v>77</v>
      </c>
      <c r="G6" s="23" t="s">
        <v>364</v>
      </c>
      <c r="H6" s="288" t="s">
        <v>365</v>
      </c>
      <c r="I6" s="288"/>
      <c r="J6" s="288"/>
      <c r="K6" s="288"/>
      <c r="L6" s="288"/>
      <c r="M6" s="288" t="s">
        <v>366</v>
      </c>
      <c r="N6" s="288"/>
      <c r="O6" s="288"/>
      <c r="P6" s="288"/>
      <c r="Q6" s="288"/>
      <c r="R6" s="23" t="s">
        <v>188</v>
      </c>
      <c r="S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row>
    <row r="7" spans="1:47" ht="15">
      <c r="F7" s="14" t="s">
        <v>367</v>
      </c>
      <c r="G7" s="14"/>
      <c r="H7" s="14">
        <f>Assumptions!H6</f>
        <v>2023</v>
      </c>
      <c r="I7" s="14">
        <f>Assumptions!I6</f>
        <v>2024</v>
      </c>
      <c r="J7" s="14">
        <f>Assumptions!J6</f>
        <v>2025</v>
      </c>
      <c r="K7" s="14">
        <f>Assumptions!K6</f>
        <v>2026</v>
      </c>
      <c r="L7" s="14">
        <f>Assumptions!L6</f>
        <v>2027</v>
      </c>
      <c r="M7" s="14">
        <f>H7</f>
        <v>2023</v>
      </c>
      <c r="N7" s="14">
        <f t="shared" ref="N7:Q8" si="0">I7</f>
        <v>2024</v>
      </c>
      <c r="O7" s="14">
        <f t="shared" si="0"/>
        <v>2025</v>
      </c>
      <c r="P7" s="14">
        <f t="shared" si="0"/>
        <v>2026</v>
      </c>
      <c r="Q7" s="14">
        <f t="shared" si="0"/>
        <v>2027</v>
      </c>
    </row>
    <row r="8" spans="1:47" ht="15">
      <c r="B8" s="14" t="s">
        <v>174</v>
      </c>
      <c r="C8" s="14" t="s">
        <v>368</v>
      </c>
      <c r="D8" s="92" t="s">
        <v>369</v>
      </c>
      <c r="E8" s="2" t="s">
        <v>370</v>
      </c>
      <c r="F8" s="14" t="s">
        <v>176</v>
      </c>
      <c r="G8" s="14"/>
      <c r="H8">
        <f>Assumptions!H7</f>
        <v>1</v>
      </c>
      <c r="I8">
        <f>Assumptions!I7</f>
        <v>2</v>
      </c>
      <c r="J8">
        <f>Assumptions!J7</f>
        <v>3</v>
      </c>
      <c r="K8">
        <f>Assumptions!K7</f>
        <v>4</v>
      </c>
      <c r="L8">
        <f>Assumptions!L7</f>
        <v>5</v>
      </c>
      <c r="M8" s="15">
        <f>H8</f>
        <v>1</v>
      </c>
      <c r="N8" s="15">
        <f t="shared" si="0"/>
        <v>2</v>
      </c>
      <c r="O8" s="15">
        <f t="shared" si="0"/>
        <v>3</v>
      </c>
      <c r="P8" s="15">
        <f t="shared" si="0"/>
        <v>4</v>
      </c>
      <c r="Q8" s="15">
        <f t="shared" si="0"/>
        <v>5</v>
      </c>
      <c r="R8" s="15"/>
      <c r="S8" s="15"/>
      <c r="T8" s="14" t="s">
        <v>371</v>
      </c>
      <c r="U8" s="15"/>
      <c r="V8" s="15"/>
      <c r="W8" s="15"/>
    </row>
    <row r="9" spans="1:47" ht="28.5">
      <c r="B9" s="286" t="s">
        <v>192</v>
      </c>
      <c r="C9" s="95" t="str">
        <f>'Annex 4'!E20</f>
        <v>GCF</v>
      </c>
      <c r="D9" s="138" t="str">
        <f>'Annex 4'!F20</f>
        <v>Local consultants</v>
      </c>
      <c r="E9" s="139" t="str">
        <f>'Annex 4'!G20</f>
        <v>Component lead to oversee all transport and mobility work (national expert)</v>
      </c>
      <c r="F9" s="140" t="str">
        <f>'Annex 4'!H20</f>
        <v>person-day</v>
      </c>
      <c r="G9" s="94">
        <f>'Annex 4'!I20</f>
        <v>150</v>
      </c>
      <c r="H9" s="141">
        <f>'Annex 4'!J20</f>
        <v>120</v>
      </c>
      <c r="I9" s="141">
        <f>'Annex 4'!K20</f>
        <v>250</v>
      </c>
      <c r="J9" s="141">
        <f>'Annex 4'!L20</f>
        <v>250</v>
      </c>
      <c r="K9" s="141">
        <f>'Annex 4'!M20</f>
        <v>250</v>
      </c>
      <c r="L9" s="141">
        <f>'Annex 4'!N20</f>
        <v>120</v>
      </c>
      <c r="M9" s="142">
        <f>$G9*H9</f>
        <v>18000</v>
      </c>
      <c r="N9" s="142">
        <f t="shared" ref="N9:Q9" si="1">$G9*I9</f>
        <v>37500</v>
      </c>
      <c r="O9" s="142">
        <f t="shared" si="1"/>
        <v>37500</v>
      </c>
      <c r="P9" s="142">
        <f t="shared" si="1"/>
        <v>37500</v>
      </c>
      <c r="Q9" s="142">
        <f t="shared" si="1"/>
        <v>18000</v>
      </c>
      <c r="R9" s="166">
        <f>SUM(M9:Q9)</f>
        <v>148500</v>
      </c>
      <c r="T9" s="90" t="s">
        <v>372</v>
      </c>
      <c r="X9" s="19"/>
      <c r="Z9" s="18"/>
    </row>
    <row r="10" spans="1:47">
      <c r="B10" s="286"/>
      <c r="C10" s="95" t="str">
        <f>'Annex 4'!E21</f>
        <v>GCF</v>
      </c>
      <c r="D10" s="138" t="str">
        <f>'Annex 4'!F21</f>
        <v>Travel</v>
      </c>
      <c r="E10" s="139" t="str">
        <f>'Annex 4'!G21</f>
        <v>Local transport in Kigali. Rental of car</v>
      </c>
      <c r="F10" s="140" t="str">
        <f>'Annex 4'!H21</f>
        <v>daily car rental</v>
      </c>
      <c r="G10" s="94">
        <f>'Annex 4'!I21</f>
        <v>100</v>
      </c>
      <c r="H10" s="141">
        <f>'Annex 4'!J21</f>
        <v>60</v>
      </c>
      <c r="I10" s="141">
        <f>'Annex 4'!K21</f>
        <v>125</v>
      </c>
      <c r="J10" s="141">
        <f>'Annex 4'!L21</f>
        <v>125</v>
      </c>
      <c r="K10" s="141">
        <f>'Annex 4'!M21</f>
        <v>125</v>
      </c>
      <c r="L10" s="141">
        <f>'Annex 4'!N21</f>
        <v>60</v>
      </c>
      <c r="M10" s="142">
        <f>$G10*H10</f>
        <v>6000</v>
      </c>
      <c r="N10" s="142">
        <f t="shared" ref="N10" si="2">$G10*I10</f>
        <v>12500</v>
      </c>
      <c r="O10" s="142">
        <f t="shared" ref="O10" si="3">$G10*J10</f>
        <v>12500</v>
      </c>
      <c r="P10" s="142">
        <f t="shared" ref="P10" si="4">$G10*K10</f>
        <v>12500</v>
      </c>
      <c r="Q10" s="142">
        <f t="shared" ref="Q10" si="5">$G10*L10</f>
        <v>6000</v>
      </c>
      <c r="R10" s="166">
        <f>SUM(M10:Q10)</f>
        <v>49500</v>
      </c>
      <c r="T10" s="90" t="s">
        <v>372</v>
      </c>
      <c r="X10" s="19"/>
      <c r="Z10" s="18"/>
    </row>
    <row r="11" spans="1:47">
      <c r="B11" s="286"/>
      <c r="C11" s="95" t="str">
        <f>'Annex 4'!E22</f>
        <v>GCF</v>
      </c>
      <c r="D11" s="138" t="str">
        <f>'Annex 4'!F22</f>
        <v>International consultant</v>
      </c>
      <c r="E11" s="139" t="str">
        <f>'Annex 4'!G22</f>
        <v>Transport engineer (international expert)</v>
      </c>
      <c r="F11" s="140" t="str">
        <f>'Annex 4'!H22</f>
        <v>person-day</v>
      </c>
      <c r="G11" s="94">
        <f>'Annex 4'!I22</f>
        <v>950</v>
      </c>
      <c r="H11" s="141">
        <f>'Annex 4'!J22</f>
        <v>40</v>
      </c>
      <c r="I11" s="141">
        <f>'Annex 4'!K22</f>
        <v>40</v>
      </c>
      <c r="J11" s="141">
        <f>'Annex 4'!L22</f>
        <v>20</v>
      </c>
      <c r="K11" s="141">
        <f>'Annex 4'!M22</f>
        <v>20</v>
      </c>
      <c r="L11" s="141">
        <f>'Annex 4'!N22</f>
        <v>20</v>
      </c>
      <c r="M11" s="142">
        <f t="shared" ref="M11:M27" si="6">$G11*H11</f>
        <v>38000</v>
      </c>
      <c r="N11" s="142">
        <f t="shared" ref="N11:N27" si="7">$G11*I11</f>
        <v>38000</v>
      </c>
      <c r="O11" s="142">
        <f t="shared" ref="O11:O27" si="8">$G11*J11</f>
        <v>19000</v>
      </c>
      <c r="P11" s="142">
        <f t="shared" ref="P11:P27" si="9">$G11*K11</f>
        <v>19000</v>
      </c>
      <c r="Q11" s="142">
        <f t="shared" ref="Q11:Q27" si="10">$G11*L11</f>
        <v>19000</v>
      </c>
      <c r="R11" s="166">
        <f t="shared" ref="R11:R27" si="11">SUM(M11:Q11)</f>
        <v>133000</v>
      </c>
      <c r="T11" s="90" t="s">
        <v>372</v>
      </c>
      <c r="X11" s="19"/>
      <c r="Z11" s="18"/>
    </row>
    <row r="12" spans="1:47">
      <c r="B12" s="286"/>
      <c r="C12" s="95" t="str">
        <f>'Annex 4'!E23</f>
        <v>GCF</v>
      </c>
      <c r="D12" s="138" t="str">
        <f>'Annex 4'!F23</f>
        <v>Travel</v>
      </c>
      <c r="E12" s="139" t="str">
        <f>'Annex 4'!G23</f>
        <v>International flight to Kigali</v>
      </c>
      <c r="F12" s="140" t="str">
        <f>'Annex 4'!H23</f>
        <v>roundtrip flight</v>
      </c>
      <c r="G12" s="94">
        <f>'Annex 4'!I23</f>
        <v>1700</v>
      </c>
      <c r="H12" s="141">
        <f>'Annex 4'!J23</f>
        <v>2</v>
      </c>
      <c r="I12" s="141">
        <f>'Annex 4'!K23</f>
        <v>2</v>
      </c>
      <c r="J12" s="141">
        <f>'Annex 4'!L23</f>
        <v>1</v>
      </c>
      <c r="K12" s="141">
        <f>'Annex 4'!M23</f>
        <v>1</v>
      </c>
      <c r="L12" s="141">
        <f>'Annex 4'!N23</f>
        <v>1</v>
      </c>
      <c r="M12" s="142">
        <f t="shared" si="6"/>
        <v>3400</v>
      </c>
      <c r="N12" s="142">
        <f t="shared" si="7"/>
        <v>3400</v>
      </c>
      <c r="O12" s="142">
        <f t="shared" si="8"/>
        <v>1700</v>
      </c>
      <c r="P12" s="142">
        <f t="shared" si="9"/>
        <v>1700</v>
      </c>
      <c r="Q12" s="142">
        <f t="shared" si="10"/>
        <v>1700</v>
      </c>
      <c r="R12" s="166">
        <f t="shared" si="11"/>
        <v>11900</v>
      </c>
      <c r="T12" s="90" t="s">
        <v>372</v>
      </c>
      <c r="X12" s="19"/>
      <c r="Z12" s="18"/>
    </row>
    <row r="13" spans="1:47">
      <c r="B13" s="286"/>
      <c r="C13" s="95" t="str">
        <f>'Annex 4'!E24</f>
        <v>GCF</v>
      </c>
      <c r="D13" s="138" t="str">
        <f>'Annex 4'!F24</f>
        <v>Travel</v>
      </c>
      <c r="E13" s="139" t="str">
        <f>'Annex 4'!G24</f>
        <v>Per diem in Kigali (including lodging)</v>
      </c>
      <c r="F13" s="140" t="str">
        <f>'Annex 4'!H24</f>
        <v>days</v>
      </c>
      <c r="G13" s="94">
        <f>'Annex 4'!I24</f>
        <v>200</v>
      </c>
      <c r="H13" s="141">
        <f>'Annex 4'!J24</f>
        <v>14</v>
      </c>
      <c r="I13" s="141">
        <f>'Annex 4'!K24</f>
        <v>14</v>
      </c>
      <c r="J13" s="141">
        <f>'Annex 4'!L24</f>
        <v>7</v>
      </c>
      <c r="K13" s="141">
        <f>'Annex 4'!M24</f>
        <v>7</v>
      </c>
      <c r="L13" s="141">
        <f>'Annex 4'!N24</f>
        <v>7</v>
      </c>
      <c r="M13" s="142">
        <f t="shared" si="6"/>
        <v>2800</v>
      </c>
      <c r="N13" s="142">
        <f t="shared" si="7"/>
        <v>2800</v>
      </c>
      <c r="O13" s="142">
        <f t="shared" si="8"/>
        <v>1400</v>
      </c>
      <c r="P13" s="142">
        <f t="shared" si="9"/>
        <v>1400</v>
      </c>
      <c r="Q13" s="142">
        <f t="shared" si="10"/>
        <v>1400</v>
      </c>
      <c r="R13" s="166">
        <f t="shared" si="11"/>
        <v>9800</v>
      </c>
      <c r="T13" s="90" t="s">
        <v>372</v>
      </c>
      <c r="X13" s="19"/>
      <c r="Z13" s="18"/>
    </row>
    <row r="14" spans="1:47" ht="57">
      <c r="B14" s="286"/>
      <c r="C14" s="95" t="str">
        <f>'Annex 4'!E25</f>
        <v>GCF</v>
      </c>
      <c r="D14" s="138" t="str">
        <f>'Annex 4'!F25</f>
        <v xml:space="preserve">Professional/ Contractual Services </v>
      </c>
      <c r="E14" s="139" t="str">
        <f>'Annex 4'!G25</f>
        <v>Detailed design and construction supervision of road works. Cost estimated based on industry standard percentage of estimated construction cost (6%)</v>
      </c>
      <c r="F14" s="140" t="str">
        <f>'Annex 4'!H25</f>
        <v>total</v>
      </c>
      <c r="G14" s="94">
        <f>'Annex 4'!I25</f>
        <v>262958.07303532801</v>
      </c>
      <c r="H14" s="141">
        <f>'Annex 4'!J25</f>
        <v>0.2</v>
      </c>
      <c r="I14" s="141">
        <f>'Annex 4'!K25</f>
        <v>0.55000000000000004</v>
      </c>
      <c r="J14" s="141">
        <f>'Annex 4'!L25</f>
        <v>0.2</v>
      </c>
      <c r="K14" s="141">
        <f>'Annex 4'!M25</f>
        <v>0.05</v>
      </c>
      <c r="L14" s="141">
        <f>'Annex 4'!N25</f>
        <v>0</v>
      </c>
      <c r="M14" s="142">
        <f t="shared" si="6"/>
        <v>52591.614607065603</v>
      </c>
      <c r="N14" s="142">
        <f t="shared" si="7"/>
        <v>144626.94016943043</v>
      </c>
      <c r="O14" s="142">
        <f t="shared" si="8"/>
        <v>52591.614607065603</v>
      </c>
      <c r="P14" s="142">
        <f t="shared" si="9"/>
        <v>13147.903651766401</v>
      </c>
      <c r="Q14" s="142">
        <f t="shared" si="10"/>
        <v>0</v>
      </c>
      <c r="R14" s="166">
        <f t="shared" si="11"/>
        <v>262958.07303532801</v>
      </c>
      <c r="T14" s="90" t="s">
        <v>372</v>
      </c>
      <c r="X14" s="19"/>
      <c r="Z14" s="18"/>
    </row>
    <row r="15" spans="1:47" ht="42.75">
      <c r="B15" s="286"/>
      <c r="C15" s="95" t="str">
        <f>'Annex 4'!E26</f>
        <v>GCF</v>
      </c>
      <c r="D15" s="138" t="str">
        <f>'Annex 4'!F26</f>
        <v xml:space="preserve">Constuction cost </v>
      </c>
      <c r="E15" s="139" t="str">
        <f>'Annex 4'!G26</f>
        <v xml:space="preserve">Wearing course &amp; curbs: Volcanic setts with permeable open pointing, Linear take-off from plan  x  ROW section, 50mm thick </v>
      </c>
      <c r="F15" s="140" t="str">
        <f>'Annex 4'!H26</f>
        <v>m2</v>
      </c>
      <c r="G15" s="94">
        <f>'Annex 4'!I26</f>
        <v>54.45000000000001</v>
      </c>
      <c r="H15" s="141">
        <f>'Annex 4'!J26</f>
        <v>0</v>
      </c>
      <c r="I15" s="141">
        <f>'Annex 4'!K26</f>
        <v>0</v>
      </c>
      <c r="J15" s="141">
        <f>'Annex 4'!L26</f>
        <v>54367.8</v>
      </c>
      <c r="K15" s="141">
        <f>'Annex 4'!M26</f>
        <v>0</v>
      </c>
      <c r="L15" s="141">
        <f>'Annex 4'!N26</f>
        <v>0</v>
      </c>
      <c r="M15" s="142">
        <f t="shared" si="6"/>
        <v>0</v>
      </c>
      <c r="N15" s="142">
        <f t="shared" si="7"/>
        <v>0</v>
      </c>
      <c r="O15" s="142">
        <f t="shared" si="8"/>
        <v>2960326.7100000009</v>
      </c>
      <c r="P15" s="142">
        <f t="shared" si="9"/>
        <v>0</v>
      </c>
      <c r="Q15" s="142">
        <f t="shared" si="10"/>
        <v>0</v>
      </c>
      <c r="R15" s="166">
        <f t="shared" si="11"/>
        <v>2960326.7100000009</v>
      </c>
      <c r="T15" s="90" t="s">
        <v>372</v>
      </c>
      <c r="X15" s="19"/>
      <c r="Z15" s="18"/>
    </row>
    <row r="16" spans="1:47" ht="42.75">
      <c r="B16" s="286"/>
      <c r="C16" s="95" t="str">
        <f>'Annex 4'!E27</f>
        <v>GCF</v>
      </c>
      <c r="D16" s="138" t="str">
        <f>'Annex 4'!F27</f>
        <v xml:space="preserve">Constuction cost </v>
      </c>
      <c r="E16" s="139" t="str">
        <f>'Annex 4'!G27</f>
        <v>Wearing course &amp; curbs: Volcanic setts with non-permable pointing, Linear take-off from plan  x  ROW section</v>
      </c>
      <c r="F16" s="140" t="str">
        <f>'Annex 4'!H27</f>
        <v>m2</v>
      </c>
      <c r="G16" s="94">
        <f>'Annex 4'!I27</f>
        <v>54.45000000000001</v>
      </c>
      <c r="H16" s="141">
        <f>'Annex 4'!J27</f>
        <v>0</v>
      </c>
      <c r="I16" s="141">
        <f>'Annex 4'!K27</f>
        <v>0</v>
      </c>
      <c r="J16" s="141">
        <f>'Annex 4'!L27</f>
        <v>6330.4</v>
      </c>
      <c r="K16" s="141">
        <f>'Annex 4'!M27</f>
        <v>0</v>
      </c>
      <c r="L16" s="141">
        <f>'Annex 4'!N27</f>
        <v>0</v>
      </c>
      <c r="M16" s="142">
        <f t="shared" si="6"/>
        <v>0</v>
      </c>
      <c r="N16" s="142">
        <f t="shared" si="7"/>
        <v>0</v>
      </c>
      <c r="O16" s="142">
        <f t="shared" si="8"/>
        <v>344690.28</v>
      </c>
      <c r="P16" s="142">
        <f t="shared" si="9"/>
        <v>0</v>
      </c>
      <c r="Q16" s="142">
        <f t="shared" si="10"/>
        <v>0</v>
      </c>
      <c r="R16" s="166">
        <f t="shared" si="11"/>
        <v>344690.28</v>
      </c>
      <c r="T16" s="90" t="s">
        <v>372</v>
      </c>
      <c r="X16" s="19"/>
      <c r="Z16" s="18"/>
    </row>
    <row r="17" spans="2:26" ht="42.75">
      <c r="B17" s="286"/>
      <c r="C17" s="95" t="str">
        <f>'Annex 4'!E28</f>
        <v>GCF</v>
      </c>
      <c r="D17" s="138" t="str">
        <f>'Annex 4'!F28</f>
        <v xml:space="preserve">Constuction cost </v>
      </c>
      <c r="E17" s="139" t="str">
        <f>'Annex 4'!G28</f>
        <v>Wearing course &amp; curbs: Asphalt cyclepath, Linear take-off from plan  x  ROW section, Assumed single surface layer 10mm thick.</v>
      </c>
      <c r="F17" s="140" t="str">
        <f>'Annex 4'!H28</f>
        <v>m2</v>
      </c>
      <c r="G17" s="94">
        <f>'Annex 4'!I28</f>
        <v>9.6800000000000015</v>
      </c>
      <c r="H17" s="141">
        <f>'Annex 4'!J28</f>
        <v>0</v>
      </c>
      <c r="I17" s="141">
        <f>'Annex 4'!K28</f>
        <v>0</v>
      </c>
      <c r="J17" s="141">
        <f>'Annex 4'!L28</f>
        <v>7524</v>
      </c>
      <c r="K17" s="141">
        <f>'Annex 4'!M28</f>
        <v>0</v>
      </c>
      <c r="L17" s="141">
        <f>'Annex 4'!N28</f>
        <v>0</v>
      </c>
      <c r="M17" s="142">
        <f t="shared" si="6"/>
        <v>0</v>
      </c>
      <c r="N17" s="142">
        <f t="shared" si="7"/>
        <v>0</v>
      </c>
      <c r="O17" s="142">
        <f t="shared" si="8"/>
        <v>72832.320000000007</v>
      </c>
      <c r="P17" s="142">
        <f t="shared" si="9"/>
        <v>0</v>
      </c>
      <c r="Q17" s="142">
        <f t="shared" si="10"/>
        <v>0</v>
      </c>
      <c r="R17" s="166">
        <f t="shared" si="11"/>
        <v>72832.320000000007</v>
      </c>
      <c r="T17" s="90" t="s">
        <v>372</v>
      </c>
      <c r="X17" s="19"/>
      <c r="Z17" s="18"/>
    </row>
    <row r="18" spans="2:26" ht="57">
      <c r="B18" s="286"/>
      <c r="C18" s="95" t="str">
        <f>'Annex 4'!E29</f>
        <v>GCF</v>
      </c>
      <c r="D18" s="138" t="str">
        <f>'Annex 4'!F29</f>
        <v xml:space="preserve">Constuction cost </v>
      </c>
      <c r="E18" s="139" t="str">
        <f>'Annex 4'!G29</f>
        <v xml:space="preserve">Wearing course &amp; curbs: High quality compacted earth, Linear take-off from plan  x  ROW section,  Assumed 100mm Thickness. Stablization of soils assumed. </v>
      </c>
      <c r="F18" s="140" t="str">
        <f>'Annex 4'!H29</f>
        <v>m2</v>
      </c>
      <c r="G18" s="94">
        <f>'Annex 4'!I29</f>
        <v>3.0250000000000004</v>
      </c>
      <c r="H18" s="141">
        <f>'Annex 4'!J29</f>
        <v>0</v>
      </c>
      <c r="I18" s="141">
        <f>'Annex 4'!K29</f>
        <v>0</v>
      </c>
      <c r="J18" s="141">
        <f>'Annex 4'!L29</f>
        <v>2646</v>
      </c>
      <c r="K18" s="141">
        <f>'Annex 4'!M29</f>
        <v>0</v>
      </c>
      <c r="L18" s="141">
        <f>'Annex 4'!N29</f>
        <v>0</v>
      </c>
      <c r="M18" s="142">
        <f t="shared" si="6"/>
        <v>0</v>
      </c>
      <c r="N18" s="142">
        <f t="shared" si="7"/>
        <v>0</v>
      </c>
      <c r="O18" s="142">
        <f t="shared" si="8"/>
        <v>8004.1500000000005</v>
      </c>
      <c r="P18" s="142">
        <f t="shared" si="9"/>
        <v>0</v>
      </c>
      <c r="Q18" s="142">
        <f t="shared" si="10"/>
        <v>0</v>
      </c>
      <c r="R18" s="166">
        <f t="shared" si="11"/>
        <v>8004.1500000000005</v>
      </c>
      <c r="T18" s="90" t="s">
        <v>372</v>
      </c>
      <c r="X18" s="19"/>
      <c r="Z18" s="18"/>
    </row>
    <row r="19" spans="2:26" ht="57">
      <c r="B19" s="286"/>
      <c r="C19" s="95" t="str">
        <f>'Annex 4'!E30</f>
        <v>GCF</v>
      </c>
      <c r="D19" s="138" t="str">
        <f>'Annex 4'!F30</f>
        <v xml:space="preserve">Constuction cost </v>
      </c>
      <c r="E19" s="139" t="str">
        <f>'Annex 4'!G30</f>
        <v xml:space="preserve">Wearing course &amp; curbs: Crushed stone stabilizer over compacted earth. Linear take-off from plan x ROW section. Assumed 200mm thickness. </v>
      </c>
      <c r="F19" s="140" t="str">
        <f>'Annex 4'!H30</f>
        <v>m2</v>
      </c>
      <c r="G19" s="94">
        <f>'Annex 4'!I30</f>
        <v>48.835600000000007</v>
      </c>
      <c r="H19" s="141">
        <f>'Annex 4'!J30</f>
        <v>0</v>
      </c>
      <c r="I19" s="141">
        <f>'Annex 4'!K30</f>
        <v>0</v>
      </c>
      <c r="J19" s="141">
        <f>'Annex 4'!L30</f>
        <v>529.20000000000005</v>
      </c>
      <c r="K19" s="141">
        <f>'Annex 4'!M30</f>
        <v>0</v>
      </c>
      <c r="L19" s="141">
        <f>'Annex 4'!N30</f>
        <v>0</v>
      </c>
      <c r="M19" s="142">
        <f t="shared" ref="M19" si="12">$G19*H19</f>
        <v>0</v>
      </c>
      <c r="N19" s="142">
        <f t="shared" ref="N19" si="13">$G19*I19</f>
        <v>0</v>
      </c>
      <c r="O19" s="142">
        <f t="shared" ref="O19" si="14">$G19*J19</f>
        <v>25843.799520000004</v>
      </c>
      <c r="P19" s="142">
        <f t="shared" ref="P19" si="15">$G19*K19</f>
        <v>0</v>
      </c>
      <c r="Q19" s="142">
        <f t="shared" ref="Q19" si="16">$G19*L19</f>
        <v>0</v>
      </c>
      <c r="R19" s="166">
        <f t="shared" ref="R19" si="17">SUM(M19:Q19)</f>
        <v>25843.799520000004</v>
      </c>
      <c r="T19" s="90" t="s">
        <v>372</v>
      </c>
      <c r="X19" s="19"/>
      <c r="Z19" s="18"/>
    </row>
    <row r="20" spans="2:26" ht="42.75">
      <c r="B20" s="286"/>
      <c r="C20" s="95" t="str">
        <f>'Annex 4'!E31</f>
        <v>GCF</v>
      </c>
      <c r="D20" s="138" t="str">
        <f>'Annex 4'!F31</f>
        <v xml:space="preserve">Constuction cost </v>
      </c>
      <c r="E20" s="139" t="str">
        <f>'Annex 4'!G31</f>
        <v>Wearing course &amp; curbs: Reinforced overflow paths of volcanic setts, 1m wide  x  ROW section, 10m centres, Stone reinforcement</v>
      </c>
      <c r="F20" s="140" t="str">
        <f>'Annex 4'!H31</f>
        <v>m2</v>
      </c>
      <c r="G20" s="94">
        <f>'Annex 4'!I31</f>
        <v>58.080000000000013</v>
      </c>
      <c r="H20" s="141">
        <f>'Annex 4'!J31</f>
        <v>0</v>
      </c>
      <c r="I20" s="141">
        <f>'Annex 4'!K31</f>
        <v>0</v>
      </c>
      <c r="J20" s="141">
        <f>'Annex 4'!L31</f>
        <v>1017</v>
      </c>
      <c r="K20" s="141">
        <f>'Annex 4'!M31</f>
        <v>0</v>
      </c>
      <c r="L20" s="141">
        <f>'Annex 4'!N31</f>
        <v>0</v>
      </c>
      <c r="M20" s="142">
        <f t="shared" si="6"/>
        <v>0</v>
      </c>
      <c r="N20" s="142">
        <f t="shared" si="7"/>
        <v>0</v>
      </c>
      <c r="O20" s="142">
        <f t="shared" si="8"/>
        <v>59067.360000000015</v>
      </c>
      <c r="P20" s="142">
        <f t="shared" si="9"/>
        <v>0</v>
      </c>
      <c r="Q20" s="142">
        <f t="shared" si="10"/>
        <v>0</v>
      </c>
      <c r="R20" s="166">
        <f t="shared" si="11"/>
        <v>59067.360000000015</v>
      </c>
      <c r="T20" s="90" t="s">
        <v>372</v>
      </c>
      <c r="X20" s="19"/>
      <c r="Z20" s="18"/>
    </row>
    <row r="21" spans="2:26" ht="57">
      <c r="B21" s="286"/>
      <c r="C21" s="95" t="str">
        <f>'Annex 4'!E32</f>
        <v>GCF</v>
      </c>
      <c r="D21" s="138" t="str">
        <f>'Annex 4'!F32</f>
        <v xml:space="preserve">Constuction cost </v>
      </c>
      <c r="E21" s="139" t="str">
        <f>'Annex 4'!G32</f>
        <v>Wearing course &amp; curbs: Elevated diversion brakes of volcanic setts, 300mm wide  x  ROW section, 10m centres, stone reinforcement, elevated</v>
      </c>
      <c r="F21" s="140" t="str">
        <f>'Annex 4'!H32</f>
        <v>m2</v>
      </c>
      <c r="G21" s="94">
        <f>'Annex 4'!I32</f>
        <v>70.180000000000007</v>
      </c>
      <c r="H21" s="141">
        <f>'Annex 4'!J32</f>
        <v>0</v>
      </c>
      <c r="I21" s="141">
        <f>'Annex 4'!K32</f>
        <v>0</v>
      </c>
      <c r="J21" s="141">
        <f>'Annex 4'!L32</f>
        <v>325.34400000000005</v>
      </c>
      <c r="K21" s="141">
        <f>'Annex 4'!M32</f>
        <v>0</v>
      </c>
      <c r="L21" s="141">
        <f>'Annex 4'!N32</f>
        <v>0</v>
      </c>
      <c r="M21" s="142">
        <f t="shared" si="6"/>
        <v>0</v>
      </c>
      <c r="N21" s="142">
        <f t="shared" si="7"/>
        <v>0</v>
      </c>
      <c r="O21" s="142">
        <f t="shared" si="8"/>
        <v>22832.641920000005</v>
      </c>
      <c r="P21" s="142">
        <f t="shared" si="9"/>
        <v>0</v>
      </c>
      <c r="Q21" s="142">
        <f t="shared" si="10"/>
        <v>0</v>
      </c>
      <c r="R21" s="166">
        <f t="shared" si="11"/>
        <v>22832.641920000005</v>
      </c>
      <c r="T21" s="90" t="s">
        <v>372</v>
      </c>
      <c r="X21" s="19"/>
      <c r="Z21" s="18"/>
    </row>
    <row r="22" spans="2:26" ht="57">
      <c r="B22" s="286"/>
      <c r="C22" s="95" t="str">
        <f>'Annex 4'!E33</f>
        <v>GCF</v>
      </c>
      <c r="D22" s="138" t="str">
        <f>'Annex 4'!F33</f>
        <v xml:space="preserve">Constuction cost </v>
      </c>
      <c r="E22" s="139" t="str">
        <f>'Annex 4'!G33</f>
        <v xml:space="preserve">Base course: Sand &amp; aggregate, Linear take-off from plan  x  ROW section, Assumed Crashed aggregate stabilised with cement (Stone Base) Thickness 150mm </v>
      </c>
      <c r="F22" s="140" t="str">
        <f>'Annex 4'!H33</f>
        <v>m2</v>
      </c>
      <c r="G22" s="94">
        <f>'Annex 4'!I33</f>
        <v>6.3525000000000009</v>
      </c>
      <c r="H22" s="141">
        <f>'Annex 4'!J33</f>
        <v>0</v>
      </c>
      <c r="I22" s="141">
        <f>'Annex 4'!K33</f>
        <v>0</v>
      </c>
      <c r="J22" s="141">
        <f>'Annex 4'!L33</f>
        <v>61606.400000000001</v>
      </c>
      <c r="K22" s="141">
        <f>'Annex 4'!M33</f>
        <v>0</v>
      </c>
      <c r="L22" s="141">
        <f>'Annex 4'!N33</f>
        <v>0</v>
      </c>
      <c r="M22" s="142">
        <f t="shared" si="6"/>
        <v>0</v>
      </c>
      <c r="N22" s="142">
        <f t="shared" si="7"/>
        <v>0</v>
      </c>
      <c r="O22" s="142">
        <f t="shared" si="8"/>
        <v>391354.65600000008</v>
      </c>
      <c r="P22" s="142">
        <f t="shared" si="9"/>
        <v>0</v>
      </c>
      <c r="Q22" s="142">
        <f t="shared" si="10"/>
        <v>0</v>
      </c>
      <c r="R22" s="166">
        <f t="shared" si="11"/>
        <v>391354.65600000008</v>
      </c>
      <c r="T22" s="90" t="s">
        <v>372</v>
      </c>
      <c r="X22" s="19"/>
      <c r="Z22" s="18"/>
    </row>
    <row r="23" spans="2:26" ht="42.75">
      <c r="B23" s="286"/>
      <c r="C23" s="95" t="str">
        <f>'Annex 4'!E34</f>
        <v>GCF</v>
      </c>
      <c r="D23" s="138" t="str">
        <f>'Annex 4'!F34</f>
        <v xml:space="preserve">Constuction cost </v>
      </c>
      <c r="E23" s="139" t="str">
        <f>'Annex 4'!G34</f>
        <v>Base course: Do-nou, Linear take-off from plan  x  ROW section, Second hand bags 25kg or 50kg filled with soil /murram</v>
      </c>
      <c r="F23" s="140" t="str">
        <f>'Annex 4'!H34</f>
        <v>m2</v>
      </c>
      <c r="G23" s="94">
        <f>'Annex 4'!I34</f>
        <v>14.520000000000003</v>
      </c>
      <c r="H23" s="141">
        <f>'Annex 4'!J34</f>
        <v>0</v>
      </c>
      <c r="I23" s="141">
        <f>'Annex 4'!K34</f>
        <v>0</v>
      </c>
      <c r="J23" s="141">
        <f>'Annex 4'!L34</f>
        <v>8324</v>
      </c>
      <c r="K23" s="141">
        <f>'Annex 4'!M34</f>
        <v>0</v>
      </c>
      <c r="L23" s="141">
        <f>'Annex 4'!N34</f>
        <v>0</v>
      </c>
      <c r="M23" s="142">
        <f t="shared" si="6"/>
        <v>0</v>
      </c>
      <c r="N23" s="142">
        <f t="shared" si="7"/>
        <v>0</v>
      </c>
      <c r="O23" s="142">
        <f t="shared" si="8"/>
        <v>120864.48000000003</v>
      </c>
      <c r="P23" s="142">
        <f t="shared" si="9"/>
        <v>0</v>
      </c>
      <c r="Q23" s="142">
        <f t="shared" si="10"/>
        <v>0</v>
      </c>
      <c r="R23" s="166">
        <f t="shared" si="11"/>
        <v>120864.48000000003</v>
      </c>
      <c r="T23" s="90" t="s">
        <v>372</v>
      </c>
      <c r="X23" s="19"/>
      <c r="Z23" s="18"/>
    </row>
    <row r="24" spans="2:26" ht="43.5" thickBot="1">
      <c r="B24" s="287"/>
      <c r="C24" s="143" t="str">
        <f>'Annex 4'!E35</f>
        <v>GCF</v>
      </c>
      <c r="D24" s="138" t="str">
        <f>'Annex 4'!F35</f>
        <v xml:space="preserve">Constuction cost </v>
      </c>
      <c r="E24" s="144" t="str">
        <f>'Annex 4'!G35</f>
        <v>Earthworks (cut and fill). Assumed average 2 m for cut/fill across all earthworks. Load and cart away</v>
      </c>
      <c r="F24" s="138" t="str">
        <f>'Annex 4'!H35</f>
        <v>m3</v>
      </c>
      <c r="G24" s="145">
        <f>'Annex 4'!I35</f>
        <v>27.225000000000005</v>
      </c>
      <c r="H24" s="146">
        <f>'Annex 4'!J35</f>
        <v>0</v>
      </c>
      <c r="I24" s="146">
        <f>'Annex 4'!K35</f>
        <v>0</v>
      </c>
      <c r="J24" s="146">
        <f>'Annex 4'!L35</f>
        <v>13840.887168000001</v>
      </c>
      <c r="K24" s="146">
        <f>'Annex 4'!M35</f>
        <v>0</v>
      </c>
      <c r="L24" s="146">
        <f>'Annex 4'!N35</f>
        <v>0</v>
      </c>
      <c r="M24" s="142">
        <f t="shared" si="6"/>
        <v>0</v>
      </c>
      <c r="N24" s="142">
        <f t="shared" si="7"/>
        <v>0</v>
      </c>
      <c r="O24" s="142">
        <f t="shared" si="8"/>
        <v>376818.15314880008</v>
      </c>
      <c r="P24" s="142">
        <f t="shared" si="9"/>
        <v>0</v>
      </c>
      <c r="Q24" s="142">
        <f t="shared" si="10"/>
        <v>0</v>
      </c>
      <c r="R24" s="166">
        <f t="shared" si="11"/>
        <v>376818.15314880008</v>
      </c>
      <c r="T24" s="90" t="s">
        <v>372</v>
      </c>
      <c r="X24" s="19"/>
      <c r="Z24" s="18"/>
    </row>
    <row r="25" spans="2:26" ht="28.5">
      <c r="B25" s="282" t="s">
        <v>218</v>
      </c>
      <c r="C25" s="147" t="str">
        <f>'Annex 4'!E36</f>
        <v>GCF</v>
      </c>
      <c r="D25" s="147" t="str">
        <f>'Annex 4'!F36</f>
        <v>Local consultants</v>
      </c>
      <c r="E25" s="149" t="str">
        <f>'Annex 4'!G36</f>
        <v>Component lead to oversee all stormwater work work (nataional expert)</v>
      </c>
      <c r="F25" s="147" t="str">
        <f>'Annex 4'!H36</f>
        <v>person-day</v>
      </c>
      <c r="G25" s="148">
        <f>'Annex 4'!I36</f>
        <v>150</v>
      </c>
      <c r="H25" s="147">
        <f>'Annex 4'!J36</f>
        <v>120</v>
      </c>
      <c r="I25" s="147">
        <f>'Annex 4'!K36</f>
        <v>250</v>
      </c>
      <c r="J25" s="147">
        <f>'Annex 4'!L36</f>
        <v>250</v>
      </c>
      <c r="K25" s="147">
        <f>'Annex 4'!M36</f>
        <v>120</v>
      </c>
      <c r="L25" s="147">
        <f>'Annex 4'!N36</f>
        <v>120</v>
      </c>
      <c r="M25" s="151">
        <f t="shared" si="6"/>
        <v>18000</v>
      </c>
      <c r="N25" s="151">
        <f t="shared" si="7"/>
        <v>37500</v>
      </c>
      <c r="O25" s="151">
        <f t="shared" si="8"/>
        <v>37500</v>
      </c>
      <c r="P25" s="151">
        <f t="shared" si="9"/>
        <v>18000</v>
      </c>
      <c r="Q25" s="151">
        <f t="shared" si="10"/>
        <v>18000</v>
      </c>
      <c r="R25" s="165">
        <f t="shared" si="11"/>
        <v>129000</v>
      </c>
      <c r="T25" s="90" t="s">
        <v>373</v>
      </c>
      <c r="X25" s="19"/>
      <c r="Z25" s="18"/>
    </row>
    <row r="26" spans="2:26">
      <c r="B26" s="283"/>
      <c r="C26" s="143" t="str">
        <f>'Annex 4'!E37</f>
        <v>GCF</v>
      </c>
      <c r="D26" s="143" t="str">
        <f>'Annex 4'!F37</f>
        <v>Travel</v>
      </c>
      <c r="E26" s="150" t="str">
        <f>'Annex 4'!G37</f>
        <v>Local transport in Kigali. Rental of car</v>
      </c>
      <c r="F26" s="143" t="str">
        <f>'Annex 4'!H37</f>
        <v>daily car rental</v>
      </c>
      <c r="G26" s="145">
        <f>'Annex 4'!I37</f>
        <v>100</v>
      </c>
      <c r="H26" s="143">
        <f>'Annex 4'!J37</f>
        <v>60</v>
      </c>
      <c r="I26" s="143">
        <f>'Annex 4'!K37</f>
        <v>125</v>
      </c>
      <c r="J26" s="143">
        <f>'Annex 4'!L37</f>
        <v>125</v>
      </c>
      <c r="K26" s="143">
        <f>'Annex 4'!M37</f>
        <v>60</v>
      </c>
      <c r="L26" s="143">
        <f>'Annex 4'!N37</f>
        <v>60</v>
      </c>
      <c r="M26" s="152">
        <f t="shared" ref="M26" si="18">$G26*H26</f>
        <v>6000</v>
      </c>
      <c r="N26" s="152">
        <f t="shared" ref="N26" si="19">$G26*I26</f>
        <v>12500</v>
      </c>
      <c r="O26" s="152">
        <f t="shared" ref="O26" si="20">$G26*J26</f>
        <v>12500</v>
      </c>
      <c r="P26" s="152">
        <f t="shared" ref="P26" si="21">$G26*K26</f>
        <v>6000</v>
      </c>
      <c r="Q26" s="152">
        <f t="shared" ref="Q26" si="22">$G26*L26</f>
        <v>6000</v>
      </c>
      <c r="R26" s="166">
        <f t="shared" ref="R26" si="23">SUM(M26:Q26)</f>
        <v>43000</v>
      </c>
      <c r="T26" s="90" t="s">
        <v>373</v>
      </c>
      <c r="X26" s="19"/>
      <c r="Z26" s="18"/>
    </row>
    <row r="27" spans="2:26">
      <c r="B27" s="283"/>
      <c r="C27" s="143" t="str">
        <f>'Annex 4'!E38</f>
        <v>GCF</v>
      </c>
      <c r="D27" s="143" t="str">
        <f>'Annex 4'!F38</f>
        <v>International consultant</v>
      </c>
      <c r="E27" s="150" t="str">
        <f>'Annex 4'!G38</f>
        <v>Stormwater engineer (international expert)</v>
      </c>
      <c r="F27" s="143" t="str">
        <f>'Annex 4'!H38</f>
        <v>person-day</v>
      </c>
      <c r="G27" s="145">
        <f>'Annex 4'!I38</f>
        <v>950</v>
      </c>
      <c r="H27" s="143">
        <f>'Annex 4'!J38</f>
        <v>40</v>
      </c>
      <c r="I27" s="143">
        <f>'Annex 4'!K38</f>
        <v>40</v>
      </c>
      <c r="J27" s="143">
        <f>'Annex 4'!L38</f>
        <v>20</v>
      </c>
      <c r="K27" s="143">
        <f>'Annex 4'!M38</f>
        <v>20</v>
      </c>
      <c r="L27" s="143">
        <f>'Annex 4'!N38</f>
        <v>20</v>
      </c>
      <c r="M27" s="152">
        <f t="shared" si="6"/>
        <v>38000</v>
      </c>
      <c r="N27" s="152">
        <f t="shared" si="7"/>
        <v>38000</v>
      </c>
      <c r="O27" s="152">
        <f t="shared" si="8"/>
        <v>19000</v>
      </c>
      <c r="P27" s="152">
        <f t="shared" si="9"/>
        <v>19000</v>
      </c>
      <c r="Q27" s="152">
        <f t="shared" si="10"/>
        <v>19000</v>
      </c>
      <c r="R27" s="166">
        <f t="shared" si="11"/>
        <v>133000</v>
      </c>
      <c r="T27" s="90" t="s">
        <v>373</v>
      </c>
      <c r="X27" s="19"/>
      <c r="Z27" s="18"/>
    </row>
    <row r="28" spans="2:26">
      <c r="B28" s="283"/>
      <c r="C28" s="143" t="str">
        <f>'Annex 4'!E39</f>
        <v>GCF</v>
      </c>
      <c r="D28" s="143" t="str">
        <f>'Annex 4'!F39</f>
        <v>Travel</v>
      </c>
      <c r="E28" s="150" t="str">
        <f>'Annex 4'!G39</f>
        <v>International flight to Kigali</v>
      </c>
      <c r="F28" s="143" t="str">
        <f>'Annex 4'!H39</f>
        <v>roundtrip flight</v>
      </c>
      <c r="G28" s="145">
        <f>'Annex 4'!I39</f>
        <v>1700</v>
      </c>
      <c r="H28" s="143">
        <f>'Annex 4'!J39</f>
        <v>1</v>
      </c>
      <c r="I28" s="143">
        <f>'Annex 4'!K39</f>
        <v>1</v>
      </c>
      <c r="J28" s="143">
        <f>'Annex 4'!L39</f>
        <v>1</v>
      </c>
      <c r="K28" s="143">
        <f>'Annex 4'!M39</f>
        <v>0</v>
      </c>
      <c r="L28" s="143">
        <f>'Annex 4'!N39</f>
        <v>1</v>
      </c>
      <c r="M28" s="152">
        <f t="shared" ref="M28:M44" si="24">$G28*H28</f>
        <v>1700</v>
      </c>
      <c r="N28" s="152">
        <f t="shared" ref="N28:N44" si="25">$G28*I28</f>
        <v>1700</v>
      </c>
      <c r="O28" s="152">
        <f t="shared" ref="O28:O44" si="26">$G28*J28</f>
        <v>1700</v>
      </c>
      <c r="P28" s="152">
        <f t="shared" ref="P28:P44" si="27">$G28*K28</f>
        <v>0</v>
      </c>
      <c r="Q28" s="152">
        <f t="shared" ref="Q28:Q44" si="28">$G28*L28</f>
        <v>1700</v>
      </c>
      <c r="R28" s="166">
        <f t="shared" ref="R28:R44" si="29">SUM(M28:Q28)</f>
        <v>6800</v>
      </c>
      <c r="T28" s="90" t="s">
        <v>373</v>
      </c>
      <c r="X28" s="19"/>
      <c r="Z28" s="18"/>
    </row>
    <row r="29" spans="2:26">
      <c r="B29" s="283"/>
      <c r="C29" s="143" t="str">
        <f>'Annex 4'!E40</f>
        <v>GCF</v>
      </c>
      <c r="D29" s="143" t="str">
        <f>'Annex 4'!F40</f>
        <v>Travel</v>
      </c>
      <c r="E29" s="150" t="str">
        <f>'Annex 4'!G40</f>
        <v>Per diem in Kigali (including lodging)</v>
      </c>
      <c r="F29" s="143" t="str">
        <f>'Annex 4'!H40</f>
        <v>days</v>
      </c>
      <c r="G29" s="145">
        <f>'Annex 4'!I40</f>
        <v>200</v>
      </c>
      <c r="H29" s="143">
        <f>'Annex 4'!J40</f>
        <v>7</v>
      </c>
      <c r="I29" s="143">
        <f>'Annex 4'!K40</f>
        <v>7</v>
      </c>
      <c r="J29" s="143">
        <f>'Annex 4'!L40</f>
        <v>7</v>
      </c>
      <c r="K29" s="143">
        <f>'Annex 4'!M40</f>
        <v>0</v>
      </c>
      <c r="L29" s="143">
        <f>'Annex 4'!N40</f>
        <v>7</v>
      </c>
      <c r="M29" s="152">
        <f t="shared" si="24"/>
        <v>1400</v>
      </c>
      <c r="N29" s="152">
        <f t="shared" si="25"/>
        <v>1400</v>
      </c>
      <c r="O29" s="152">
        <f t="shared" si="26"/>
        <v>1400</v>
      </c>
      <c r="P29" s="152">
        <f t="shared" si="27"/>
        <v>0</v>
      </c>
      <c r="Q29" s="152">
        <f t="shared" si="28"/>
        <v>1400</v>
      </c>
      <c r="R29" s="166">
        <f t="shared" si="29"/>
        <v>5600</v>
      </c>
      <c r="T29" s="90" t="s">
        <v>373</v>
      </c>
      <c r="Z29" s="18"/>
    </row>
    <row r="30" spans="2:26" ht="71.25">
      <c r="B30" s="283"/>
      <c r="C30" s="143" t="str">
        <f>'Annex 4'!E41</f>
        <v>GCF</v>
      </c>
      <c r="D30" s="143" t="str">
        <f>'Annex 4'!F41</f>
        <v xml:space="preserve">Professional/ Contractual Services </v>
      </c>
      <c r="E30" s="150" t="str">
        <f>'Annex 4'!G41</f>
        <v>Detailed design and construction supervision of stormwater works.  Cost estimated based on industry standard percentage of estimated construction cost (6.5%) for size/type of project.</v>
      </c>
      <c r="F30" s="143">
        <f>'Annex 4'!H41</f>
        <v>0</v>
      </c>
      <c r="G30" s="145">
        <f>'Annex 4'!I41</f>
        <v>86710.427553750007</v>
      </c>
      <c r="H30" s="143">
        <f>'Annex 4'!J41</f>
        <v>0.1</v>
      </c>
      <c r="I30" s="143">
        <f>'Annex 4'!K41</f>
        <v>0.4</v>
      </c>
      <c r="J30" s="143">
        <f>'Annex 4'!L41</f>
        <v>0.3</v>
      </c>
      <c r="K30" s="143">
        <f>'Annex 4'!M41</f>
        <v>0.2</v>
      </c>
      <c r="L30" s="143">
        <f>'Annex 4'!N41</f>
        <v>0</v>
      </c>
      <c r="M30" s="152">
        <f t="shared" si="24"/>
        <v>8671.0427553750014</v>
      </c>
      <c r="N30" s="152">
        <f t="shared" si="25"/>
        <v>34684.171021500006</v>
      </c>
      <c r="O30" s="152">
        <f t="shared" si="26"/>
        <v>26013.128266125001</v>
      </c>
      <c r="P30" s="152">
        <f t="shared" si="27"/>
        <v>17342.085510750003</v>
      </c>
      <c r="Q30" s="152">
        <f t="shared" si="28"/>
        <v>0</v>
      </c>
      <c r="R30" s="166">
        <f t="shared" si="29"/>
        <v>86710.427553750022</v>
      </c>
      <c r="T30" s="90" t="s">
        <v>373</v>
      </c>
      <c r="Z30" s="18"/>
    </row>
    <row r="31" spans="2:26" ht="42.75">
      <c r="B31" s="283"/>
      <c r="C31" s="143" t="str">
        <f>'Annex 4'!E42</f>
        <v>GCF</v>
      </c>
      <c r="D31" s="143" t="str">
        <f>'Annex 4'!F42</f>
        <v xml:space="preserve">Constuction cost </v>
      </c>
      <c r="E31" s="150" t="str">
        <f>'Annex 4'!G42</f>
        <v>Rendered stone channels with stream brakes. 300  x  300mm section. Stone stream at 5m centres. Thickness assumed at 200-300mm</v>
      </c>
      <c r="F31" s="143" t="str">
        <f>'Annex 4'!H42</f>
        <v>m</v>
      </c>
      <c r="G31" s="145">
        <f>'Annex 4'!I42</f>
        <v>48.400000000000006</v>
      </c>
      <c r="H31" s="143">
        <f>'Annex 4'!J42</f>
        <v>0</v>
      </c>
      <c r="I31" s="143">
        <f>'Annex 4'!K42</f>
        <v>0</v>
      </c>
      <c r="J31" s="143">
        <f>'Annex 4'!L42</f>
        <v>284</v>
      </c>
      <c r="K31" s="143">
        <f>'Annex 4'!M42</f>
        <v>0</v>
      </c>
      <c r="L31" s="143">
        <f>'Annex 4'!N42</f>
        <v>0</v>
      </c>
      <c r="M31" s="152">
        <f t="shared" si="24"/>
        <v>0</v>
      </c>
      <c r="N31" s="152">
        <f t="shared" si="25"/>
        <v>0</v>
      </c>
      <c r="O31" s="152">
        <f t="shared" si="26"/>
        <v>13745.600000000002</v>
      </c>
      <c r="P31" s="152">
        <f t="shared" si="27"/>
        <v>0</v>
      </c>
      <c r="Q31" s="152">
        <f t="shared" si="28"/>
        <v>0</v>
      </c>
      <c r="R31" s="166">
        <f t="shared" si="29"/>
        <v>13745.600000000002</v>
      </c>
      <c r="T31" s="90" t="s">
        <v>373</v>
      </c>
      <c r="Z31" s="18"/>
    </row>
    <row r="32" spans="2:26" ht="57">
      <c r="B32" s="283"/>
      <c r="C32" s="143" t="str">
        <f>'Annex 4'!E43</f>
        <v>GCF</v>
      </c>
      <c r="D32" s="143" t="str">
        <f>'Annex 4'!F43</f>
        <v xml:space="preserve">Constuction cost </v>
      </c>
      <c r="E32" s="150" t="str">
        <f>'Annex 4'!G43</f>
        <v>Planted green swales small. Linear take-off from plan  x  ROW section. Turf grass assumed including soil preparation.  Swale has  perforated pipes underneath 1964LM</v>
      </c>
      <c r="F32" s="143" t="str">
        <f>'Annex 4'!H43</f>
        <v>m2</v>
      </c>
      <c r="G32" s="145">
        <f>'Annex 4'!I43</f>
        <v>16.940000000000005</v>
      </c>
      <c r="H32" s="143">
        <f>'Annex 4'!J43</f>
        <v>0</v>
      </c>
      <c r="I32" s="143">
        <f>'Annex 4'!K43</f>
        <v>0</v>
      </c>
      <c r="J32" s="143">
        <f>'Annex 4'!L43</f>
        <v>3825.3</v>
      </c>
      <c r="K32" s="143">
        <f>'Annex 4'!M43</f>
        <v>0</v>
      </c>
      <c r="L32" s="143">
        <f>'Annex 4'!N43</f>
        <v>0</v>
      </c>
      <c r="M32" s="152">
        <f t="shared" si="24"/>
        <v>0</v>
      </c>
      <c r="N32" s="152">
        <f t="shared" si="25"/>
        <v>0</v>
      </c>
      <c r="O32" s="152">
        <f t="shared" si="26"/>
        <v>64800.582000000024</v>
      </c>
      <c r="P32" s="152">
        <f t="shared" si="27"/>
        <v>0</v>
      </c>
      <c r="Q32" s="152">
        <f t="shared" si="28"/>
        <v>0</v>
      </c>
      <c r="R32" s="166">
        <f t="shared" si="29"/>
        <v>64800.582000000024</v>
      </c>
      <c r="T32" s="90" t="s">
        <v>373</v>
      </c>
      <c r="Z32" s="18"/>
    </row>
    <row r="33" spans="2:26" ht="57">
      <c r="B33" s="283"/>
      <c r="C33" s="143" t="str">
        <f>'Annex 4'!E44</f>
        <v>GCF</v>
      </c>
      <c r="D33" s="143" t="str">
        <f>'Annex 4'!F44</f>
        <v xml:space="preserve">Constuction cost </v>
      </c>
      <c r="E33" s="150" t="str">
        <f>'Annex 4'!G44</f>
        <v>Planted green swales large. Linear take-off from plan  x  ROW section. Assumed with succulent grass/ plant mix, soil preparation. With pipes</v>
      </c>
      <c r="F33" s="143" t="str">
        <f>'Annex 4'!H44</f>
        <v>m2</v>
      </c>
      <c r="G33" s="145">
        <f>'Annex 4'!I44</f>
        <v>16.940000000000005</v>
      </c>
      <c r="H33" s="143">
        <f>'Annex 4'!J44</f>
        <v>0</v>
      </c>
      <c r="I33" s="143">
        <f>'Annex 4'!K44</f>
        <v>0</v>
      </c>
      <c r="J33" s="143">
        <f>'Annex 4'!L44</f>
        <v>10883.6</v>
      </c>
      <c r="K33" s="143">
        <f>'Annex 4'!M44</f>
        <v>0</v>
      </c>
      <c r="L33" s="143">
        <f>'Annex 4'!N44</f>
        <v>0</v>
      </c>
      <c r="M33" s="152">
        <f t="shared" si="24"/>
        <v>0</v>
      </c>
      <c r="N33" s="152">
        <f t="shared" si="25"/>
        <v>0</v>
      </c>
      <c r="O33" s="152">
        <f t="shared" si="26"/>
        <v>184368.18400000007</v>
      </c>
      <c r="P33" s="152">
        <f t="shared" si="27"/>
        <v>0</v>
      </c>
      <c r="Q33" s="152">
        <f t="shared" si="28"/>
        <v>0</v>
      </c>
      <c r="R33" s="166">
        <f t="shared" si="29"/>
        <v>184368.18400000007</v>
      </c>
      <c r="S33" s="19"/>
      <c r="T33" s="90" t="s">
        <v>373</v>
      </c>
      <c r="X33" s="19"/>
      <c r="Z33" s="18"/>
    </row>
    <row r="34" spans="2:26" ht="42.75">
      <c r="B34" s="283"/>
      <c r="C34" s="143" t="str">
        <f>'Annex 4'!E45</f>
        <v>GCF</v>
      </c>
      <c r="D34" s="143" t="str">
        <f>'Annex 4'!F45</f>
        <v xml:space="preserve">Constuction cost </v>
      </c>
      <c r="E34" s="150" t="str">
        <f>'Annex 4'!G45</f>
        <v>Planted step swales small. Linear take-off from plan  x  ROW section. Steps at 5m centres. Soil preparation. No Pipes.</v>
      </c>
      <c r="F34" s="143" t="str">
        <f>'Annex 4'!H45</f>
        <v>m2</v>
      </c>
      <c r="G34" s="145">
        <f>'Annex 4'!I45</f>
        <v>5.7475000000000014</v>
      </c>
      <c r="H34" s="143">
        <f>'Annex 4'!J45</f>
        <v>0</v>
      </c>
      <c r="I34" s="143">
        <f>'Annex 4'!K45</f>
        <v>0</v>
      </c>
      <c r="J34" s="143">
        <f>'Annex 4'!L45</f>
        <v>5051.7</v>
      </c>
      <c r="K34" s="143">
        <f>'Annex 4'!M45</f>
        <v>0</v>
      </c>
      <c r="L34" s="143">
        <f>'Annex 4'!N45</f>
        <v>0</v>
      </c>
      <c r="M34" s="152">
        <f t="shared" si="24"/>
        <v>0</v>
      </c>
      <c r="N34" s="152">
        <f t="shared" si="25"/>
        <v>0</v>
      </c>
      <c r="O34" s="152">
        <f t="shared" si="26"/>
        <v>29034.645750000007</v>
      </c>
      <c r="P34" s="152">
        <f t="shared" si="27"/>
        <v>0</v>
      </c>
      <c r="Q34" s="152">
        <f t="shared" si="28"/>
        <v>0</v>
      </c>
      <c r="R34" s="166">
        <f t="shared" si="29"/>
        <v>29034.645750000007</v>
      </c>
      <c r="T34" s="90" t="s">
        <v>373</v>
      </c>
      <c r="Z34" s="18"/>
    </row>
    <row r="35" spans="2:26" ht="28.5">
      <c r="B35" s="283"/>
      <c r="C35" s="143" t="str">
        <f>'Annex 4'!E46</f>
        <v>GCF</v>
      </c>
      <c r="D35" s="143" t="str">
        <f>'Annex 4'!F46</f>
        <v xml:space="preserve">Constuction cost </v>
      </c>
      <c r="E35" s="150" t="str">
        <f>'Annex 4'!G46</f>
        <v xml:space="preserve">Planted step swales large. Linear take-off from plan  x  ROW section. Steps at 5m centres. </v>
      </c>
      <c r="F35" s="143" t="str">
        <f>'Annex 4'!H46</f>
        <v>m2</v>
      </c>
      <c r="G35" s="145">
        <f>'Annex 4'!I46</f>
        <v>0</v>
      </c>
      <c r="H35" s="143">
        <f>'Annex 4'!J46</f>
        <v>0</v>
      </c>
      <c r="I35" s="143">
        <f>'Annex 4'!K46</f>
        <v>0</v>
      </c>
      <c r="J35" s="143">
        <f>'Annex 4'!L46</f>
        <v>0</v>
      </c>
      <c r="K35" s="143">
        <f>'Annex 4'!M46</f>
        <v>0</v>
      </c>
      <c r="L35" s="143">
        <f>'Annex 4'!N46</f>
        <v>0</v>
      </c>
      <c r="M35" s="152">
        <f t="shared" si="24"/>
        <v>0</v>
      </c>
      <c r="N35" s="152">
        <f t="shared" si="25"/>
        <v>0</v>
      </c>
      <c r="O35" s="152">
        <f t="shared" si="26"/>
        <v>0</v>
      </c>
      <c r="P35" s="152">
        <f t="shared" si="27"/>
        <v>0</v>
      </c>
      <c r="Q35" s="152">
        <f t="shared" si="28"/>
        <v>0</v>
      </c>
      <c r="R35" s="166">
        <f t="shared" si="29"/>
        <v>0</v>
      </c>
      <c r="T35" s="90" t="s">
        <v>373</v>
      </c>
      <c r="Z35" s="18"/>
    </row>
    <row r="36" spans="2:26" ht="71.25">
      <c r="B36" s="283"/>
      <c r="C36" s="143" t="str">
        <f>'Annex 4'!E47</f>
        <v>GCF</v>
      </c>
      <c r="D36" s="143" t="str">
        <f>'Annex 4'!F47</f>
        <v xml:space="preserve">Constuction cost </v>
      </c>
      <c r="E36" s="150" t="str">
        <f>'Annex 4'!G47</f>
        <v>Infiltration ponds of gravel &amp; soil base with natural grasses &amp; shrubs. Allowance for rain gardens,  5m2 each. Infiltration galleries with geotextile, pipe inlets/ outlets. Assumed depth of 5 mtrs</v>
      </c>
      <c r="F36" s="143" t="str">
        <f>'Annex 4'!H47</f>
        <v>nr</v>
      </c>
      <c r="G36" s="145">
        <f>'Annex 4'!I47</f>
        <v>4783.4325000000008</v>
      </c>
      <c r="H36" s="143">
        <f>'Annex 4'!J47</f>
        <v>0</v>
      </c>
      <c r="I36" s="143">
        <f>'Annex 4'!K47</f>
        <v>0</v>
      </c>
      <c r="J36" s="143">
        <f>'Annex 4'!L47</f>
        <v>22</v>
      </c>
      <c r="K36" s="143">
        <f>'Annex 4'!M47</f>
        <v>0</v>
      </c>
      <c r="L36" s="143">
        <f>'Annex 4'!N47</f>
        <v>0</v>
      </c>
      <c r="M36" s="152">
        <f t="shared" si="24"/>
        <v>0</v>
      </c>
      <c r="N36" s="152">
        <f t="shared" si="25"/>
        <v>0</v>
      </c>
      <c r="O36" s="152">
        <f t="shared" si="26"/>
        <v>105235.51500000001</v>
      </c>
      <c r="P36" s="152">
        <f t="shared" si="27"/>
        <v>0</v>
      </c>
      <c r="Q36" s="152">
        <f t="shared" si="28"/>
        <v>0</v>
      </c>
      <c r="R36" s="166">
        <f t="shared" si="29"/>
        <v>105235.51500000001</v>
      </c>
      <c r="T36" s="90" t="s">
        <v>373</v>
      </c>
      <c r="Z36" s="18"/>
    </row>
    <row r="37" spans="2:26" ht="57">
      <c r="B37" s="283"/>
      <c r="C37" s="143" t="str">
        <f>'Annex 4'!E48</f>
        <v>GCF</v>
      </c>
      <c r="D37" s="143" t="str">
        <f>'Annex 4'!F48</f>
        <v xml:space="preserve">Constuction cost </v>
      </c>
      <c r="E37" s="150" t="str">
        <f>'Annex 4'!G48</f>
        <v xml:space="preserve">Retaining structures. Stone &amp; cement walls. Assume 500mm height  x  linear take off uphill side of contour roads &amp; paths only. 50% on cross counter contours . </v>
      </c>
      <c r="F37" s="143" t="str">
        <f>'Annex 4'!H48</f>
        <v>m</v>
      </c>
      <c r="G37" s="145">
        <f>'Annex 4'!I48</f>
        <v>45.375000000000007</v>
      </c>
      <c r="H37" s="143">
        <f>'Annex 4'!J48</f>
        <v>0</v>
      </c>
      <c r="I37" s="143">
        <f>'Annex 4'!K48</f>
        <v>0</v>
      </c>
      <c r="J37" s="143">
        <f>'Annex 4'!L48</f>
        <v>3280.5</v>
      </c>
      <c r="K37" s="143">
        <f>'Annex 4'!M48</f>
        <v>0</v>
      </c>
      <c r="L37" s="143">
        <f>'Annex 4'!N48</f>
        <v>0</v>
      </c>
      <c r="M37" s="152">
        <f t="shared" si="24"/>
        <v>0</v>
      </c>
      <c r="N37" s="152">
        <f t="shared" si="25"/>
        <v>0</v>
      </c>
      <c r="O37" s="152">
        <f t="shared" si="26"/>
        <v>148852.68750000003</v>
      </c>
      <c r="P37" s="152">
        <f t="shared" si="27"/>
        <v>0</v>
      </c>
      <c r="Q37" s="152">
        <f t="shared" si="28"/>
        <v>0</v>
      </c>
      <c r="R37" s="166">
        <f t="shared" si="29"/>
        <v>148852.68750000003</v>
      </c>
      <c r="T37" s="90" t="s">
        <v>373</v>
      </c>
      <c r="Z37" s="18"/>
    </row>
    <row r="38" spans="2:26" ht="42.75">
      <c r="B38" s="283"/>
      <c r="C38" s="143" t="str">
        <f>'Annex 4'!E49</f>
        <v>GCF</v>
      </c>
      <c r="D38" s="143" t="str">
        <f>'Annex 4'!F49</f>
        <v xml:space="preserve">Constuction cost </v>
      </c>
      <c r="E38" s="150" t="str">
        <f>'Annex 4'!G49</f>
        <v>Retaining structures. Gabion walls. Assume 1m height  x  linear take-off terraced rain gardens &amp; 50% uphill side main collector road</v>
      </c>
      <c r="F38" s="143" t="str">
        <f>'Annex 4'!H49</f>
        <v>m</v>
      </c>
      <c r="G38" s="145">
        <f>'Annex 4'!I49</f>
        <v>121.00000000000003</v>
      </c>
      <c r="H38" s="143">
        <f>'Annex 4'!J49</f>
        <v>0</v>
      </c>
      <c r="I38" s="143">
        <f>'Annex 4'!K49</f>
        <v>0</v>
      </c>
      <c r="J38" s="143">
        <f>'Annex 4'!L49</f>
        <v>4267</v>
      </c>
      <c r="K38" s="143">
        <f>'Annex 4'!M49</f>
        <v>0</v>
      </c>
      <c r="L38" s="143">
        <f>'Annex 4'!N49</f>
        <v>0</v>
      </c>
      <c r="M38" s="152">
        <f t="shared" si="24"/>
        <v>0</v>
      </c>
      <c r="N38" s="152">
        <f t="shared" si="25"/>
        <v>0</v>
      </c>
      <c r="O38" s="152">
        <f t="shared" si="26"/>
        <v>516307.00000000012</v>
      </c>
      <c r="P38" s="152">
        <f t="shared" si="27"/>
        <v>0</v>
      </c>
      <c r="Q38" s="152">
        <f t="shared" si="28"/>
        <v>0</v>
      </c>
      <c r="R38" s="166">
        <f t="shared" si="29"/>
        <v>516307.00000000012</v>
      </c>
      <c r="T38" s="90" t="s">
        <v>373</v>
      </c>
      <c r="Z38" s="18"/>
    </row>
    <row r="39" spans="2:26" ht="28.5">
      <c r="B39" s="283"/>
      <c r="C39" s="143" t="str">
        <f>'Annex 4'!E50</f>
        <v>GCF</v>
      </c>
      <c r="D39" s="143" t="str">
        <f>'Annex 4'!F50</f>
        <v xml:space="preserve">Constuction cost </v>
      </c>
      <c r="E39" s="150" t="str">
        <f>'Annex 4'!G50</f>
        <v xml:space="preserve">Trees for shade &amp; stabilisation. Allowance for existing village cluster. Assumed market rate </v>
      </c>
      <c r="F39" s="143" t="str">
        <f>'Annex 4'!H50</f>
        <v>nr</v>
      </c>
      <c r="G39" s="145">
        <f>'Annex 4'!I50</f>
        <v>38.720000000000006</v>
      </c>
      <c r="H39" s="143">
        <f>'Annex 4'!J50</f>
        <v>0</v>
      </c>
      <c r="I39" s="143">
        <f>'Annex 4'!K50</f>
        <v>0</v>
      </c>
      <c r="J39" s="143">
        <f>'Annex 4'!L50</f>
        <v>100</v>
      </c>
      <c r="K39" s="143">
        <f>'Annex 4'!M50</f>
        <v>0</v>
      </c>
      <c r="L39" s="143">
        <f>'Annex 4'!N50</f>
        <v>0</v>
      </c>
      <c r="M39" s="152">
        <f t="shared" si="24"/>
        <v>0</v>
      </c>
      <c r="N39" s="152">
        <f t="shared" si="25"/>
        <v>0</v>
      </c>
      <c r="O39" s="152">
        <f t="shared" si="26"/>
        <v>3872.0000000000005</v>
      </c>
      <c r="P39" s="152">
        <f t="shared" si="27"/>
        <v>0</v>
      </c>
      <c r="Q39" s="152">
        <f t="shared" si="28"/>
        <v>0</v>
      </c>
      <c r="R39" s="166">
        <f t="shared" si="29"/>
        <v>3872.0000000000005</v>
      </c>
      <c r="T39" s="90" t="s">
        <v>373</v>
      </c>
      <c r="Z39" s="18"/>
    </row>
    <row r="40" spans="2:26" ht="28.5">
      <c r="B40" s="283"/>
      <c r="C40" s="143" t="str">
        <f>'Annex 4'!E51</f>
        <v>GCF</v>
      </c>
      <c r="D40" s="143" t="str">
        <f>'Annex 4'!F51</f>
        <v xml:space="preserve">Constuction cost </v>
      </c>
      <c r="E40" s="150" t="str">
        <f>'Annex 4'!G51</f>
        <v xml:space="preserve">Mixed shrubs for stabilisation. Allowance for existing village clusters. Assumed market rate </v>
      </c>
      <c r="F40" s="143" t="str">
        <f>'Annex 4'!H51</f>
        <v>nr</v>
      </c>
      <c r="G40" s="145">
        <f>'Annex 4'!I51</f>
        <v>42.35</v>
      </c>
      <c r="H40" s="143">
        <f>'Annex 4'!J51</f>
        <v>0</v>
      </c>
      <c r="I40" s="143">
        <f>'Annex 4'!K51</f>
        <v>0</v>
      </c>
      <c r="J40" s="143">
        <f>'Annex 4'!L51</f>
        <v>300</v>
      </c>
      <c r="K40" s="143">
        <f>'Annex 4'!M51</f>
        <v>0</v>
      </c>
      <c r="L40" s="143">
        <f>'Annex 4'!N51</f>
        <v>0</v>
      </c>
      <c r="M40" s="152">
        <f t="shared" si="24"/>
        <v>0</v>
      </c>
      <c r="N40" s="152">
        <f t="shared" si="25"/>
        <v>0</v>
      </c>
      <c r="O40" s="152">
        <f t="shared" si="26"/>
        <v>12705</v>
      </c>
      <c r="P40" s="152">
        <f t="shared" si="27"/>
        <v>0</v>
      </c>
      <c r="Q40" s="152">
        <f t="shared" si="28"/>
        <v>0</v>
      </c>
      <c r="R40" s="166">
        <f t="shared" si="29"/>
        <v>12705</v>
      </c>
      <c r="T40" s="90" t="s">
        <v>373</v>
      </c>
      <c r="Z40" s="18"/>
    </row>
    <row r="41" spans="2:26" ht="28.5">
      <c r="B41" s="283"/>
      <c r="C41" s="143" t="str">
        <f>'Annex 4'!E52</f>
        <v>GCF</v>
      </c>
      <c r="D41" s="143" t="str">
        <f>'Annex 4'!F52</f>
        <v xml:space="preserve">Constuction cost </v>
      </c>
      <c r="E41" s="150" t="str">
        <f>'Annex 4'!G52</f>
        <v>Terraced rain gardens. Area take.off.  grassed area including terracing &amp; soil preparation</v>
      </c>
      <c r="F41" s="143" t="str">
        <f>'Annex 4'!H52</f>
        <v>m2</v>
      </c>
      <c r="G41" s="145">
        <f>'Annex 4'!I52</f>
        <v>8.4095000000000013</v>
      </c>
      <c r="H41" s="143">
        <f>'Annex 4'!J52</f>
        <v>0</v>
      </c>
      <c r="I41" s="143">
        <f>'Annex 4'!K52</f>
        <v>0</v>
      </c>
      <c r="J41" s="143">
        <f>'Annex 4'!L52</f>
        <v>30333</v>
      </c>
      <c r="K41" s="143">
        <f>'Annex 4'!M52</f>
        <v>0</v>
      </c>
      <c r="L41" s="143">
        <f>'Annex 4'!N52</f>
        <v>0</v>
      </c>
      <c r="M41" s="152">
        <f t="shared" si="24"/>
        <v>0</v>
      </c>
      <c r="N41" s="152">
        <f t="shared" si="25"/>
        <v>0</v>
      </c>
      <c r="O41" s="152">
        <f t="shared" si="26"/>
        <v>255085.36350000004</v>
      </c>
      <c r="P41" s="152">
        <f t="shared" si="27"/>
        <v>0</v>
      </c>
      <c r="Q41" s="152">
        <f t="shared" si="28"/>
        <v>0</v>
      </c>
      <c r="R41" s="166">
        <f t="shared" si="29"/>
        <v>255085.36350000004</v>
      </c>
      <c r="T41" s="90" t="s">
        <v>373</v>
      </c>
      <c r="Z41" s="18"/>
    </row>
    <row r="42" spans="2:26" ht="29.25" thickBot="1">
      <c r="B42" s="283"/>
      <c r="C42" s="143" t="str">
        <f>'Annex 4'!E53</f>
        <v>GCF</v>
      </c>
      <c r="D42" s="143" t="str">
        <f>'Annex 4'!F53</f>
        <v>Training, workshops, and conference</v>
      </c>
      <c r="E42" s="150" t="str">
        <f>'Annex 4'!G53</f>
        <v>Training for CoK and village on proper maintenance of stormwater systems</v>
      </c>
      <c r="F42" s="143" t="str">
        <f>'Annex 4'!H53</f>
        <v>person-day</v>
      </c>
      <c r="G42" s="145">
        <f>'Annex 4'!I53</f>
        <v>150</v>
      </c>
      <c r="H42" s="143">
        <f>'Annex 4'!J53</f>
        <v>0</v>
      </c>
      <c r="I42" s="143">
        <f>'Annex 4'!K53</f>
        <v>0</v>
      </c>
      <c r="J42" s="143">
        <f>'Annex 4'!L53</f>
        <v>0</v>
      </c>
      <c r="K42" s="143">
        <f>'Annex 4'!M53</f>
        <v>50</v>
      </c>
      <c r="L42" s="143">
        <f>'Annex 4'!N53</f>
        <v>50</v>
      </c>
      <c r="M42" s="152">
        <f t="shared" si="24"/>
        <v>0</v>
      </c>
      <c r="N42" s="152">
        <f t="shared" si="25"/>
        <v>0</v>
      </c>
      <c r="O42" s="152">
        <f t="shared" si="26"/>
        <v>0</v>
      </c>
      <c r="P42" s="152">
        <f t="shared" si="27"/>
        <v>7500</v>
      </c>
      <c r="Q42" s="152">
        <f t="shared" si="28"/>
        <v>7500</v>
      </c>
      <c r="R42" s="166">
        <f t="shared" si="29"/>
        <v>15000</v>
      </c>
      <c r="T42" s="90" t="s">
        <v>373</v>
      </c>
      <c r="Z42" s="18"/>
    </row>
    <row r="43" spans="2:26">
      <c r="B43" s="282" t="s">
        <v>236</v>
      </c>
      <c r="C43" s="149" t="str">
        <f>'Annex 4'!E54</f>
        <v>GCF</v>
      </c>
      <c r="D43" s="149" t="str">
        <f>'Annex 4'!F54</f>
        <v>Local consultants</v>
      </c>
      <c r="E43" s="149" t="str">
        <f>'Annex 4'!G54</f>
        <v>Component lead for water activities</v>
      </c>
      <c r="F43" s="149" t="str">
        <f>'Annex 4'!H54</f>
        <v>person-day</v>
      </c>
      <c r="G43" s="148">
        <f>'Annex 4'!I54</f>
        <v>150</v>
      </c>
      <c r="H43" s="149">
        <f>'Annex 4'!J54</f>
        <v>120</v>
      </c>
      <c r="I43" s="149">
        <f>'Annex 4'!K54</f>
        <v>120</v>
      </c>
      <c r="J43" s="149">
        <f>'Annex 4'!L54</f>
        <v>120</v>
      </c>
      <c r="K43" s="149">
        <f>'Annex 4'!M54</f>
        <v>120</v>
      </c>
      <c r="L43" s="149">
        <f>'Annex 4'!N54</f>
        <v>120</v>
      </c>
      <c r="M43" s="151">
        <f t="shared" si="24"/>
        <v>18000</v>
      </c>
      <c r="N43" s="151">
        <f t="shared" si="25"/>
        <v>18000</v>
      </c>
      <c r="O43" s="151">
        <f t="shared" si="26"/>
        <v>18000</v>
      </c>
      <c r="P43" s="151">
        <f t="shared" si="27"/>
        <v>18000</v>
      </c>
      <c r="Q43" s="151">
        <f t="shared" si="28"/>
        <v>18000</v>
      </c>
      <c r="R43" s="165">
        <f t="shared" si="29"/>
        <v>90000</v>
      </c>
      <c r="T43" s="90" t="s">
        <v>374</v>
      </c>
      <c r="Z43" s="18"/>
    </row>
    <row r="44" spans="2:26">
      <c r="B44" s="283"/>
      <c r="C44" s="150" t="str">
        <f>'Annex 4'!E55</f>
        <v>GCF</v>
      </c>
      <c r="D44" s="150" t="str">
        <f>'Annex 4'!F55</f>
        <v>Travel</v>
      </c>
      <c r="E44" s="150" t="str">
        <f>'Annex 4'!G55</f>
        <v>Local transport in Kigali. Rental of car</v>
      </c>
      <c r="F44" s="150" t="str">
        <f>'Annex 4'!H55</f>
        <v>daily car rental</v>
      </c>
      <c r="G44" s="145">
        <f>'Annex 4'!I55</f>
        <v>100</v>
      </c>
      <c r="H44" s="150">
        <f>'Annex 4'!J55</f>
        <v>30</v>
      </c>
      <c r="I44" s="150">
        <f>'Annex 4'!K55</f>
        <v>30</v>
      </c>
      <c r="J44" s="150">
        <f>'Annex 4'!L55</f>
        <v>30</v>
      </c>
      <c r="K44" s="150">
        <f>'Annex 4'!M55</f>
        <v>30</v>
      </c>
      <c r="L44" s="150">
        <f>'Annex 4'!N55</f>
        <v>30</v>
      </c>
      <c r="M44" s="152">
        <f t="shared" si="24"/>
        <v>3000</v>
      </c>
      <c r="N44" s="152">
        <f t="shared" si="25"/>
        <v>3000</v>
      </c>
      <c r="O44" s="152">
        <f t="shared" si="26"/>
        <v>3000</v>
      </c>
      <c r="P44" s="152">
        <f t="shared" si="27"/>
        <v>3000</v>
      </c>
      <c r="Q44" s="152">
        <f t="shared" si="28"/>
        <v>3000</v>
      </c>
      <c r="R44" s="166">
        <f t="shared" si="29"/>
        <v>15000</v>
      </c>
      <c r="T44" s="90" t="s">
        <v>374</v>
      </c>
      <c r="Z44" s="18"/>
    </row>
    <row r="45" spans="2:26" ht="28.5">
      <c r="B45" s="283"/>
      <c r="C45" s="150" t="str">
        <f>'Annex 4'!E56</f>
        <v>GCF</v>
      </c>
      <c r="D45" s="150" t="str">
        <f>'Annex 4'!F56</f>
        <v>International consultant</v>
      </c>
      <c r="E45" s="150" t="str">
        <f>'Annex 4'!G56</f>
        <v>Water and sanitation engineer (international expert)</v>
      </c>
      <c r="F45" s="150" t="str">
        <f>'Annex 4'!H56</f>
        <v>person-day</v>
      </c>
      <c r="G45" s="145">
        <f>'Annex 4'!I56</f>
        <v>950</v>
      </c>
      <c r="H45" s="150">
        <f>'Annex 4'!J56</f>
        <v>20</v>
      </c>
      <c r="I45" s="150">
        <f>'Annex 4'!K56</f>
        <v>20</v>
      </c>
      <c r="J45" s="150">
        <f>'Annex 4'!L56</f>
        <v>10</v>
      </c>
      <c r="K45" s="150">
        <f>'Annex 4'!M56</f>
        <v>10</v>
      </c>
      <c r="L45" s="150">
        <f>'Annex 4'!N56</f>
        <v>20</v>
      </c>
      <c r="M45" s="152">
        <f t="shared" ref="M45:M55" si="30">$G45*H45</f>
        <v>19000</v>
      </c>
      <c r="N45" s="152">
        <f t="shared" ref="N45:N55" si="31">$G45*I45</f>
        <v>19000</v>
      </c>
      <c r="O45" s="152">
        <f t="shared" ref="O45:O55" si="32">$G45*J45</f>
        <v>9500</v>
      </c>
      <c r="P45" s="152">
        <f t="shared" ref="P45:P55" si="33">$G45*K45</f>
        <v>9500</v>
      </c>
      <c r="Q45" s="152">
        <f t="shared" ref="Q45:Q55" si="34">$G45*L45</f>
        <v>19000</v>
      </c>
      <c r="R45" s="166">
        <f t="shared" ref="R45:R55" si="35">SUM(M45:Q45)</f>
        <v>76000</v>
      </c>
      <c r="T45" s="90" t="s">
        <v>374</v>
      </c>
      <c r="Z45" s="18"/>
    </row>
    <row r="46" spans="2:26">
      <c r="B46" s="283"/>
      <c r="C46" s="150" t="str">
        <f>'Annex 4'!E57</f>
        <v>GCF</v>
      </c>
      <c r="D46" s="150" t="str">
        <f>'Annex 4'!F57</f>
        <v>Travel</v>
      </c>
      <c r="E46" s="150" t="str">
        <f>'Annex 4'!G57</f>
        <v>International flight to Kigali</v>
      </c>
      <c r="F46" s="150" t="str">
        <f>'Annex 4'!H57</f>
        <v>roundtrip flight</v>
      </c>
      <c r="G46" s="145">
        <f>'Annex 4'!I57</f>
        <v>1700</v>
      </c>
      <c r="H46" s="150">
        <f>'Annex 4'!J57</f>
        <v>1</v>
      </c>
      <c r="I46" s="150">
        <f>'Annex 4'!K57</f>
        <v>1</v>
      </c>
      <c r="J46" s="150">
        <f>'Annex 4'!L57</f>
        <v>0</v>
      </c>
      <c r="K46" s="150">
        <f>'Annex 4'!M57</f>
        <v>0</v>
      </c>
      <c r="L46" s="150">
        <f>'Annex 4'!N57</f>
        <v>1</v>
      </c>
      <c r="M46" s="152">
        <f t="shared" si="30"/>
        <v>1700</v>
      </c>
      <c r="N46" s="152">
        <f t="shared" si="31"/>
        <v>1700</v>
      </c>
      <c r="O46" s="152">
        <f t="shared" si="32"/>
        <v>0</v>
      </c>
      <c r="P46" s="152">
        <f t="shared" si="33"/>
        <v>0</v>
      </c>
      <c r="Q46" s="152">
        <f t="shared" si="34"/>
        <v>1700</v>
      </c>
      <c r="R46" s="166">
        <f t="shared" si="35"/>
        <v>5100</v>
      </c>
      <c r="T46" s="90" t="s">
        <v>374</v>
      </c>
      <c r="Z46" s="18"/>
    </row>
    <row r="47" spans="2:26">
      <c r="B47" s="283"/>
      <c r="C47" s="150" t="str">
        <f>'Annex 4'!E58</f>
        <v>GCF</v>
      </c>
      <c r="D47" s="150" t="str">
        <f>'Annex 4'!F58</f>
        <v>Travel</v>
      </c>
      <c r="E47" s="150" t="str">
        <f>'Annex 4'!G58</f>
        <v>Per diem in Kigali (including lodging)</v>
      </c>
      <c r="F47" s="150" t="str">
        <f>'Annex 4'!H58</f>
        <v>days</v>
      </c>
      <c r="G47" s="145">
        <f>'Annex 4'!I58</f>
        <v>200</v>
      </c>
      <c r="H47" s="150">
        <f>'Annex 4'!J58</f>
        <v>7</v>
      </c>
      <c r="I47" s="150">
        <f>'Annex 4'!K58</f>
        <v>7</v>
      </c>
      <c r="J47" s="150">
        <f>'Annex 4'!L58</f>
        <v>0</v>
      </c>
      <c r="K47" s="150">
        <f>'Annex 4'!M58</f>
        <v>0</v>
      </c>
      <c r="L47" s="150">
        <f>'Annex 4'!N58</f>
        <v>7</v>
      </c>
      <c r="M47" s="152">
        <f t="shared" si="30"/>
        <v>1400</v>
      </c>
      <c r="N47" s="152">
        <f t="shared" si="31"/>
        <v>1400</v>
      </c>
      <c r="O47" s="152">
        <f t="shared" si="32"/>
        <v>0</v>
      </c>
      <c r="P47" s="152">
        <f t="shared" si="33"/>
        <v>0</v>
      </c>
      <c r="Q47" s="152">
        <f t="shared" si="34"/>
        <v>1400</v>
      </c>
      <c r="R47" s="166">
        <f t="shared" si="35"/>
        <v>4200</v>
      </c>
      <c r="T47" s="90" t="s">
        <v>374</v>
      </c>
      <c r="Z47" s="18"/>
    </row>
    <row r="48" spans="2:26" ht="85.5">
      <c r="B48" s="283"/>
      <c r="C48" s="150" t="str">
        <f>'Annex 4'!E59</f>
        <v>GCF</v>
      </c>
      <c r="D48" s="150" t="str">
        <f>'Annex 4'!F59</f>
        <v xml:space="preserve">Professional/ Contractual Services </v>
      </c>
      <c r="E48" s="150" t="str">
        <f>'Annex 4'!G59</f>
        <v>Detailed design of rainwater harvesting systems, evaluation of houses, and coordination with households. Cost estimated based on industry standard percentage of estimated construction cost (10%) for size/type of project.</v>
      </c>
      <c r="F48" s="150" t="str">
        <f>'Annex 4'!H59</f>
        <v>total</v>
      </c>
      <c r="G48" s="145">
        <f>'Annex 4'!I59</f>
        <v>23984.317500000005</v>
      </c>
      <c r="H48" s="150">
        <f>'Annex 4'!J59</f>
        <v>0.1</v>
      </c>
      <c r="I48" s="150">
        <f>'Annex 4'!K59</f>
        <v>0.4</v>
      </c>
      <c r="J48" s="150">
        <f>'Annex 4'!L59</f>
        <v>0.4</v>
      </c>
      <c r="K48" s="150">
        <f>'Annex 4'!M59</f>
        <v>0.1</v>
      </c>
      <c r="L48" s="150">
        <f>'Annex 4'!N59</f>
        <v>0</v>
      </c>
      <c r="M48" s="152">
        <f t="shared" si="30"/>
        <v>2398.4317500000006</v>
      </c>
      <c r="N48" s="152">
        <f t="shared" si="31"/>
        <v>9593.7270000000026</v>
      </c>
      <c r="O48" s="152">
        <f t="shared" si="32"/>
        <v>9593.7270000000026</v>
      </c>
      <c r="P48" s="152">
        <f t="shared" si="33"/>
        <v>2398.4317500000006</v>
      </c>
      <c r="Q48" s="152">
        <f t="shared" si="34"/>
        <v>0</v>
      </c>
      <c r="R48" s="166">
        <f t="shared" si="35"/>
        <v>23984.317500000005</v>
      </c>
      <c r="T48" s="90" t="s">
        <v>374</v>
      </c>
      <c r="Z48" s="18"/>
    </row>
    <row r="49" spans="2:26" ht="42.75">
      <c r="B49" s="283"/>
      <c r="C49" s="150" t="str">
        <f>'Annex 4'!E60</f>
        <v>GCF</v>
      </c>
      <c r="D49" s="150" t="str">
        <f>'Annex 4'!F60</f>
        <v xml:space="preserve">Constuction cost </v>
      </c>
      <c r="E49" s="150" t="str">
        <f>'Annex 4'!G60</f>
        <v>Rainwater harvesting installations on households (includes purchase of tank, gutter installations, first flush device, etc)</v>
      </c>
      <c r="F49" s="150" t="str">
        <f>'Annex 4'!H60</f>
        <v>household</v>
      </c>
      <c r="G49" s="145">
        <f>'Annex 4'!I60</f>
        <v>747.17500000000007</v>
      </c>
      <c r="H49" s="150">
        <f>'Annex 4'!J60</f>
        <v>0</v>
      </c>
      <c r="I49" s="150">
        <f>'Annex 4'!K60</f>
        <v>100</v>
      </c>
      <c r="J49" s="150">
        <f>'Annex 4'!L60</f>
        <v>221</v>
      </c>
      <c r="K49" s="150">
        <f>'Annex 4'!M60</f>
        <v>0</v>
      </c>
      <c r="L49" s="150">
        <f>'Annex 4'!N60</f>
        <v>0</v>
      </c>
      <c r="M49" s="152">
        <f t="shared" si="30"/>
        <v>0</v>
      </c>
      <c r="N49" s="152">
        <f t="shared" si="31"/>
        <v>74717.5</v>
      </c>
      <c r="O49" s="152">
        <f t="shared" si="32"/>
        <v>165125.67500000002</v>
      </c>
      <c r="P49" s="152">
        <f t="shared" si="33"/>
        <v>0</v>
      </c>
      <c r="Q49" s="152">
        <f t="shared" si="34"/>
        <v>0</v>
      </c>
      <c r="R49" s="166">
        <f t="shared" si="35"/>
        <v>239843.17500000002</v>
      </c>
      <c r="T49" s="90" t="s">
        <v>374</v>
      </c>
      <c r="Z49" s="18"/>
    </row>
    <row r="50" spans="2:26" ht="42.75">
      <c r="B50" s="283"/>
      <c r="C50" s="150" t="str">
        <f>'Annex 4'!E61</f>
        <v>GCF</v>
      </c>
      <c r="D50" s="150" t="str">
        <f>'Annex 4'!F61</f>
        <v>Training, workshops, and conference</v>
      </c>
      <c r="E50" s="150" t="str">
        <f>'Annex 4'!G61</f>
        <v>Trainings for beneficiaries and follow up visits for use and maintenance of rainwater harvesting system</v>
      </c>
      <c r="F50" s="150" t="str">
        <f>'Annex 4'!H61</f>
        <v>person-day</v>
      </c>
      <c r="G50" s="145">
        <f>'Annex 4'!I61</f>
        <v>150</v>
      </c>
      <c r="H50" s="150">
        <f>'Annex 4'!J61</f>
        <v>0</v>
      </c>
      <c r="I50" s="150">
        <f>'Annex 4'!K61</f>
        <v>10</v>
      </c>
      <c r="J50" s="150">
        <f>'Annex 4'!L61</f>
        <v>50</v>
      </c>
      <c r="K50" s="150">
        <f>'Annex 4'!M61</f>
        <v>50</v>
      </c>
      <c r="L50" s="150">
        <f>'Annex 4'!N61</f>
        <v>10</v>
      </c>
      <c r="M50" s="152">
        <f t="shared" si="30"/>
        <v>0</v>
      </c>
      <c r="N50" s="152">
        <f t="shared" si="31"/>
        <v>1500</v>
      </c>
      <c r="O50" s="152">
        <f t="shared" si="32"/>
        <v>7500</v>
      </c>
      <c r="P50" s="152">
        <f t="shared" si="33"/>
        <v>7500</v>
      </c>
      <c r="Q50" s="152">
        <f t="shared" si="34"/>
        <v>1500</v>
      </c>
      <c r="R50" s="166">
        <f t="shared" si="35"/>
        <v>18000</v>
      </c>
      <c r="T50" s="90" t="s">
        <v>374</v>
      </c>
      <c r="Z50" s="18"/>
    </row>
    <row r="51" spans="2:26" ht="57">
      <c r="B51" s="283"/>
      <c r="C51" s="150" t="str">
        <f>'Annex 4'!E62</f>
        <v>GCF</v>
      </c>
      <c r="D51" s="150" t="str">
        <f>'Annex 4'!F62</f>
        <v xml:space="preserve">Professional/ Contractual Services </v>
      </c>
      <c r="E51" s="150" t="str">
        <f>'Annex 4'!G62</f>
        <v>Detailed design of expansion of central water supply. Cost estimated based on industry standard percentage of estimated construction cost (10%) for size/type of project.</v>
      </c>
      <c r="F51" s="150">
        <f>'Annex 4'!H62</f>
        <v>0</v>
      </c>
      <c r="G51" s="145">
        <f>'Annex 4'!I62</f>
        <v>29233.9</v>
      </c>
      <c r="H51" s="150">
        <f>'Annex 4'!J62</f>
        <v>0</v>
      </c>
      <c r="I51" s="150">
        <f>'Annex 4'!K62</f>
        <v>1</v>
      </c>
      <c r="J51" s="150">
        <f>'Annex 4'!L62</f>
        <v>0</v>
      </c>
      <c r="K51" s="150">
        <f>'Annex 4'!M62</f>
        <v>0</v>
      </c>
      <c r="L51" s="150">
        <f>'Annex 4'!N62</f>
        <v>0</v>
      </c>
      <c r="M51" s="152">
        <f t="shared" si="30"/>
        <v>0</v>
      </c>
      <c r="N51" s="152">
        <f t="shared" si="31"/>
        <v>29233.9</v>
      </c>
      <c r="O51" s="152">
        <f t="shared" si="32"/>
        <v>0</v>
      </c>
      <c r="P51" s="152">
        <f t="shared" si="33"/>
        <v>0</v>
      </c>
      <c r="Q51" s="152">
        <f t="shared" si="34"/>
        <v>0</v>
      </c>
      <c r="R51" s="166">
        <f t="shared" si="35"/>
        <v>29233.9</v>
      </c>
      <c r="T51" s="90" t="s">
        <v>374</v>
      </c>
      <c r="Z51" s="18"/>
    </row>
    <row r="52" spans="2:26">
      <c r="B52" s="283"/>
      <c r="C52" s="150" t="str">
        <f>'Annex 4'!E63</f>
        <v>GCF</v>
      </c>
      <c r="D52" s="150" t="str">
        <f>'Annex 4'!F63</f>
        <v xml:space="preserve">Constuction cost </v>
      </c>
      <c r="E52" s="150" t="str">
        <f>'Annex 4'!G63</f>
        <v>Water distribution system</v>
      </c>
      <c r="F52" s="150" t="str">
        <f>'Annex 4'!H63</f>
        <v>LS</v>
      </c>
      <c r="G52" s="145">
        <f>'Annex 4'!I63</f>
        <v>292339</v>
      </c>
      <c r="H52" s="150">
        <f>'Annex 4'!J63</f>
        <v>0</v>
      </c>
      <c r="I52" s="150">
        <f>'Annex 4'!K63</f>
        <v>0</v>
      </c>
      <c r="J52" s="150">
        <f>'Annex 4'!L63</f>
        <v>1</v>
      </c>
      <c r="K52" s="150">
        <f>'Annex 4'!M63</f>
        <v>0</v>
      </c>
      <c r="L52" s="150">
        <f>'Annex 4'!N63</f>
        <v>0</v>
      </c>
      <c r="M52" s="152">
        <f t="shared" si="30"/>
        <v>0</v>
      </c>
      <c r="N52" s="152">
        <f t="shared" si="31"/>
        <v>0</v>
      </c>
      <c r="O52" s="152">
        <f t="shared" si="32"/>
        <v>292339</v>
      </c>
      <c r="P52" s="152">
        <f t="shared" si="33"/>
        <v>0</v>
      </c>
      <c r="Q52" s="152">
        <f t="shared" si="34"/>
        <v>0</v>
      </c>
      <c r="R52" s="166">
        <f t="shared" si="35"/>
        <v>292339</v>
      </c>
      <c r="T52" s="90" t="s">
        <v>374</v>
      </c>
      <c r="Z52" s="18"/>
    </row>
    <row r="53" spans="2:26" ht="72" thickBot="1">
      <c r="B53" s="284"/>
      <c r="C53" s="150" t="str">
        <f>'Annex 4'!E64</f>
        <v>GCF</v>
      </c>
      <c r="D53" s="150" t="str">
        <f>'Annex 4'!F64</f>
        <v>Training, workshops, and conference</v>
      </c>
      <c r="E53" s="150" t="str">
        <f>'Annex 4'!G64</f>
        <v>Trainings on options for household drinking water treatment systems (assumed no venue cost, only expert cost). Assumed training for most households according to interest, estimated at 300.</v>
      </c>
      <c r="F53" s="150" t="str">
        <f>'Annex 4'!H64</f>
        <v>person-day</v>
      </c>
      <c r="G53" s="145">
        <f>'Annex 4'!I64</f>
        <v>150</v>
      </c>
      <c r="H53" s="150">
        <f>'Annex 4'!J64</f>
        <v>0</v>
      </c>
      <c r="I53" s="150">
        <f>'Annex 4'!K64</f>
        <v>40</v>
      </c>
      <c r="J53" s="150">
        <f>'Annex 4'!L64</f>
        <v>0</v>
      </c>
      <c r="K53" s="150">
        <f>'Annex 4'!M64</f>
        <v>0</v>
      </c>
      <c r="L53" s="150">
        <f>'Annex 4'!N64</f>
        <v>0</v>
      </c>
      <c r="M53" s="152">
        <f t="shared" si="30"/>
        <v>0</v>
      </c>
      <c r="N53" s="152">
        <f t="shared" si="31"/>
        <v>6000</v>
      </c>
      <c r="O53" s="152">
        <f t="shared" si="32"/>
        <v>0</v>
      </c>
      <c r="P53" s="152">
        <f t="shared" si="33"/>
        <v>0</v>
      </c>
      <c r="Q53" s="152">
        <f t="shared" si="34"/>
        <v>0</v>
      </c>
      <c r="R53" s="166">
        <f t="shared" si="35"/>
        <v>6000</v>
      </c>
      <c r="T53" s="90" t="s">
        <v>374</v>
      </c>
      <c r="Z53" s="18"/>
    </row>
    <row r="54" spans="2:26">
      <c r="B54" s="282" t="s">
        <v>249</v>
      </c>
      <c r="C54" s="149" t="str">
        <f>'Annex 4'!E65</f>
        <v>GCF</v>
      </c>
      <c r="D54" s="149" t="str">
        <f>'Annex 4'!F65</f>
        <v>Local consultants</v>
      </c>
      <c r="E54" s="149" t="str">
        <f>'Annex 4'!G65</f>
        <v>Component lead for sanitation</v>
      </c>
      <c r="F54" s="149" t="str">
        <f>'Annex 4'!H65</f>
        <v>person-day</v>
      </c>
      <c r="G54" s="148">
        <f>'Annex 4'!I65</f>
        <v>150</v>
      </c>
      <c r="H54" s="149">
        <f>'Annex 4'!J65</f>
        <v>120</v>
      </c>
      <c r="I54" s="149">
        <f>'Annex 4'!K65</f>
        <v>120</v>
      </c>
      <c r="J54" s="149">
        <f>'Annex 4'!L65</f>
        <v>60</v>
      </c>
      <c r="K54" s="149">
        <f>'Annex 4'!M65</f>
        <v>60</v>
      </c>
      <c r="L54" s="149">
        <f>'Annex 4'!N65</f>
        <v>60</v>
      </c>
      <c r="M54" s="151">
        <f t="shared" si="30"/>
        <v>18000</v>
      </c>
      <c r="N54" s="151">
        <f t="shared" si="31"/>
        <v>18000</v>
      </c>
      <c r="O54" s="151">
        <f t="shared" si="32"/>
        <v>9000</v>
      </c>
      <c r="P54" s="151">
        <f t="shared" si="33"/>
        <v>9000</v>
      </c>
      <c r="Q54" s="151">
        <f t="shared" si="34"/>
        <v>9000</v>
      </c>
      <c r="R54" s="165">
        <f t="shared" si="35"/>
        <v>63000</v>
      </c>
      <c r="T54" s="90" t="s">
        <v>375</v>
      </c>
      <c r="Z54" s="18"/>
    </row>
    <row r="55" spans="2:26">
      <c r="B55" s="283"/>
      <c r="C55" s="150" t="str">
        <f>'Annex 4'!E66</f>
        <v>GCF</v>
      </c>
      <c r="D55" s="150" t="str">
        <f>'Annex 4'!F66</f>
        <v>Travel</v>
      </c>
      <c r="E55" s="150" t="str">
        <f>'Annex 4'!G66</f>
        <v>Local transport in Kigali. Rental of car</v>
      </c>
      <c r="F55" s="150" t="str">
        <f>'Annex 4'!H66</f>
        <v>daily car rental</v>
      </c>
      <c r="G55" s="145">
        <f>'Annex 4'!I66</f>
        <v>100</v>
      </c>
      <c r="H55" s="150">
        <f>'Annex 4'!J66</f>
        <v>30</v>
      </c>
      <c r="I55" s="150">
        <f>'Annex 4'!K66</f>
        <v>30</v>
      </c>
      <c r="J55" s="150">
        <f>'Annex 4'!L66</f>
        <v>15</v>
      </c>
      <c r="K55" s="150">
        <f>'Annex 4'!M66</f>
        <v>15</v>
      </c>
      <c r="L55" s="150">
        <f>'Annex 4'!N66</f>
        <v>15</v>
      </c>
      <c r="M55" s="152">
        <f t="shared" si="30"/>
        <v>3000</v>
      </c>
      <c r="N55" s="152">
        <f t="shared" si="31"/>
        <v>3000</v>
      </c>
      <c r="O55" s="152">
        <f t="shared" si="32"/>
        <v>1500</v>
      </c>
      <c r="P55" s="152">
        <f t="shared" si="33"/>
        <v>1500</v>
      </c>
      <c r="Q55" s="152">
        <f t="shared" si="34"/>
        <v>1500</v>
      </c>
      <c r="R55" s="166">
        <f t="shared" si="35"/>
        <v>10500</v>
      </c>
      <c r="T55" s="90" t="s">
        <v>375</v>
      </c>
      <c r="Z55" s="18"/>
    </row>
    <row r="56" spans="2:26" ht="71.25">
      <c r="B56" s="283"/>
      <c r="C56" s="150" t="str">
        <f>'Annex 4'!E67</f>
        <v>GCF</v>
      </c>
      <c r="D56" s="150" t="str">
        <f>'Annex 4'!F67</f>
        <v xml:space="preserve">Professional/ Contractual Services </v>
      </c>
      <c r="E56" s="150" t="str">
        <f>'Annex 4'!G67</f>
        <v>Detailed design and construction supervision of collective toilets and biogas system at market. Cost estimated based on industry standard percentage of estimated construction cost (6.5%) for size/type of project.</v>
      </c>
      <c r="F56" s="150">
        <f>'Annex 4'!H67</f>
        <v>0</v>
      </c>
      <c r="G56" s="145">
        <f>'Annex 4'!I67</f>
        <v>5720</v>
      </c>
      <c r="H56" s="150">
        <f>'Annex 4'!J67</f>
        <v>1</v>
      </c>
      <c r="I56" s="150">
        <f>'Annex 4'!K67</f>
        <v>0</v>
      </c>
      <c r="J56" s="150">
        <f>'Annex 4'!L67</f>
        <v>0</v>
      </c>
      <c r="K56" s="150">
        <f>'Annex 4'!M67</f>
        <v>0</v>
      </c>
      <c r="L56" s="150">
        <f>'Annex 4'!N67</f>
        <v>0</v>
      </c>
      <c r="M56" s="152">
        <f t="shared" ref="M56" si="36">$G56*H56</f>
        <v>5720</v>
      </c>
      <c r="N56" s="152">
        <f t="shared" ref="N56" si="37">$G56*I56</f>
        <v>0</v>
      </c>
      <c r="O56" s="152">
        <f t="shared" ref="O56" si="38">$G56*J56</f>
        <v>0</v>
      </c>
      <c r="P56" s="152">
        <f t="shared" ref="P56" si="39">$G56*K56</f>
        <v>0</v>
      </c>
      <c r="Q56" s="152">
        <f t="shared" ref="Q56" si="40">$G56*L56</f>
        <v>0</v>
      </c>
      <c r="R56" s="166">
        <f t="shared" ref="R56" si="41">SUM(M56:Q56)</f>
        <v>5720</v>
      </c>
      <c r="T56" s="90" t="s">
        <v>375</v>
      </c>
      <c r="Z56" s="18"/>
    </row>
    <row r="57" spans="2:26" ht="57">
      <c r="B57" s="283"/>
      <c r="C57" s="150" t="str">
        <f>'Annex 4'!E68</f>
        <v>GCF</v>
      </c>
      <c r="D57" s="150" t="str">
        <f>'Annex 4'!F68</f>
        <v xml:space="preserve">Constuction cost </v>
      </c>
      <c r="E57" s="150" t="str">
        <f>'Annex 4'!G68</f>
        <v>Construction of collective toilets and biogas system at market. Toilets (2) Number. Digestor &amp; expansion chamber. Clay/concrete blocks, proofing. Excavations</v>
      </c>
      <c r="F57" s="150">
        <f>'Annex 4'!H68</f>
        <v>0</v>
      </c>
      <c r="G57" s="145">
        <f>'Annex 4'!I68</f>
        <v>88000</v>
      </c>
      <c r="H57" s="150">
        <f>'Annex 4'!J68</f>
        <v>0</v>
      </c>
      <c r="I57" s="150">
        <f>'Annex 4'!K68</f>
        <v>0</v>
      </c>
      <c r="J57" s="150">
        <f>'Annex 4'!L68</f>
        <v>1</v>
      </c>
      <c r="K57" s="150">
        <f>'Annex 4'!M68</f>
        <v>0</v>
      </c>
      <c r="L57" s="150">
        <f>'Annex 4'!N68</f>
        <v>0</v>
      </c>
      <c r="M57" s="152">
        <f t="shared" ref="M57:M62" si="42">$G57*H57</f>
        <v>0</v>
      </c>
      <c r="N57" s="152">
        <f t="shared" ref="N57:N62" si="43">$G57*I57</f>
        <v>0</v>
      </c>
      <c r="O57" s="152">
        <f t="shared" ref="O57:O62" si="44">$G57*J57</f>
        <v>88000</v>
      </c>
      <c r="P57" s="152">
        <f t="shared" ref="P57:P62" si="45">$G57*K57</f>
        <v>0</v>
      </c>
      <c r="Q57" s="152">
        <f t="shared" ref="Q57:Q62" si="46">$G57*L57</f>
        <v>0</v>
      </c>
      <c r="R57" s="166">
        <f t="shared" ref="R57:R62" si="47">SUM(M57:Q57)</f>
        <v>88000</v>
      </c>
      <c r="T57" s="90" t="s">
        <v>375</v>
      </c>
      <c r="Z57" s="18"/>
    </row>
    <row r="58" spans="2:26" ht="71.25">
      <c r="B58" s="283"/>
      <c r="C58" s="150" t="str">
        <f>'Annex 4'!E69</f>
        <v>GCF</v>
      </c>
      <c r="D58" s="150" t="str">
        <f>'Annex 4'!F69</f>
        <v>Training, workshops, and conference</v>
      </c>
      <c r="E58" s="150" t="str">
        <f>'Annex 4'!G69</f>
        <v>Training on sanitation and greywater management improvements. Assume 100 households attend training at least once, and each training has 10 households (some households attend twice).</v>
      </c>
      <c r="F58" s="150" t="str">
        <f>'Annex 4'!H69</f>
        <v>lump sum per training</v>
      </c>
      <c r="G58" s="145">
        <f>'Annex 4'!I69</f>
        <v>150</v>
      </c>
      <c r="H58" s="150">
        <f>'Annex 4'!J69</f>
        <v>0</v>
      </c>
      <c r="I58" s="150">
        <f>'Annex 4'!K69</f>
        <v>0</v>
      </c>
      <c r="J58" s="150">
        <f>'Annex 4'!L69</f>
        <v>5</v>
      </c>
      <c r="K58" s="150">
        <f>'Annex 4'!M69</f>
        <v>5</v>
      </c>
      <c r="L58" s="150">
        <f>'Annex 4'!N69</f>
        <v>5</v>
      </c>
      <c r="M58" s="152">
        <f t="shared" si="42"/>
        <v>0</v>
      </c>
      <c r="N58" s="152">
        <f t="shared" si="43"/>
        <v>0</v>
      </c>
      <c r="O58" s="152">
        <f t="shared" si="44"/>
        <v>750</v>
      </c>
      <c r="P58" s="152">
        <f t="shared" si="45"/>
        <v>750</v>
      </c>
      <c r="Q58" s="152">
        <f t="shared" si="46"/>
        <v>750</v>
      </c>
      <c r="R58" s="166">
        <f t="shared" si="47"/>
        <v>2250</v>
      </c>
      <c r="T58" s="90" t="s">
        <v>375</v>
      </c>
      <c r="Z58" s="18"/>
    </row>
    <row r="59" spans="2:26" ht="72" thickBot="1">
      <c r="B59" s="284"/>
      <c r="C59" s="150" t="str">
        <f>'Annex 4'!E70</f>
        <v>GCF</v>
      </c>
      <c r="D59" s="150" t="str">
        <f>'Annex 4'!F70</f>
        <v>Training, workshops, and conference</v>
      </c>
      <c r="E59" s="150" t="str">
        <f>'Annex 4'!G70</f>
        <v>Training on the use and maintenance of the collective toilets and biogas system (assumed no venue cost, only expert cost). Target groups include market managers, community upgrading committee, TVET staff.</v>
      </c>
      <c r="F59" s="150" t="str">
        <f>'Annex 4'!H70</f>
        <v>person-day</v>
      </c>
      <c r="G59" s="145">
        <f>'Annex 4'!I70</f>
        <v>150</v>
      </c>
      <c r="H59" s="150">
        <f>'Annex 4'!J70</f>
        <v>10</v>
      </c>
      <c r="I59" s="150">
        <f>'Annex 4'!K70</f>
        <v>10</v>
      </c>
      <c r="J59" s="150">
        <f>'Annex 4'!L70</f>
        <v>60</v>
      </c>
      <c r="K59" s="150">
        <f>'Annex 4'!M70</f>
        <v>30</v>
      </c>
      <c r="L59" s="150">
        <f>'Annex 4'!N70</f>
        <v>30</v>
      </c>
      <c r="M59" s="152">
        <f t="shared" si="42"/>
        <v>1500</v>
      </c>
      <c r="N59" s="152">
        <f t="shared" si="43"/>
        <v>1500</v>
      </c>
      <c r="O59" s="152">
        <f t="shared" si="44"/>
        <v>9000</v>
      </c>
      <c r="P59" s="152">
        <f t="shared" si="45"/>
        <v>4500</v>
      </c>
      <c r="Q59" s="152">
        <f t="shared" si="46"/>
        <v>4500</v>
      </c>
      <c r="R59" s="166">
        <f t="shared" si="47"/>
        <v>21000</v>
      </c>
      <c r="T59" s="90" t="s">
        <v>375</v>
      </c>
      <c r="Z59" s="18"/>
    </row>
    <row r="60" spans="2:26">
      <c r="B60" s="289" t="s">
        <v>256</v>
      </c>
      <c r="C60" s="149" t="str">
        <f>'Annex 4'!E71</f>
        <v>GCF</v>
      </c>
      <c r="D60" s="149" t="str">
        <f>'Annex 4'!F71</f>
        <v>Local consultants</v>
      </c>
      <c r="E60" s="149" t="str">
        <f>'Annex 4'!G71</f>
        <v>Component lead for energy</v>
      </c>
      <c r="F60" s="149" t="str">
        <f>'Annex 4'!H71</f>
        <v>person-day</v>
      </c>
      <c r="G60" s="148">
        <f>'Annex 4'!I71</f>
        <v>150</v>
      </c>
      <c r="H60" s="149">
        <f>'Annex 4'!J71</f>
        <v>60</v>
      </c>
      <c r="I60" s="149">
        <f>'Annex 4'!K71</f>
        <v>60</v>
      </c>
      <c r="J60" s="149">
        <f>'Annex 4'!L71</f>
        <v>60</v>
      </c>
      <c r="K60" s="149">
        <f>'Annex 4'!M71</f>
        <v>60</v>
      </c>
      <c r="L60" s="149">
        <f>'Annex 4'!N71</f>
        <v>60</v>
      </c>
      <c r="M60" s="151">
        <f t="shared" si="42"/>
        <v>9000</v>
      </c>
      <c r="N60" s="151">
        <f t="shared" si="43"/>
        <v>9000</v>
      </c>
      <c r="O60" s="151">
        <f t="shared" si="44"/>
        <v>9000</v>
      </c>
      <c r="P60" s="151">
        <f t="shared" si="45"/>
        <v>9000</v>
      </c>
      <c r="Q60" s="151">
        <f t="shared" si="46"/>
        <v>9000</v>
      </c>
      <c r="R60" s="165">
        <f t="shared" si="47"/>
        <v>45000</v>
      </c>
      <c r="T60" s="90" t="s">
        <v>376</v>
      </c>
      <c r="Z60" s="18"/>
    </row>
    <row r="61" spans="2:26">
      <c r="B61" s="286"/>
      <c r="C61" s="150" t="str">
        <f>'Annex 4'!E72</f>
        <v>GCF</v>
      </c>
      <c r="D61" s="150" t="str">
        <f>'Annex 4'!F72</f>
        <v>Travel</v>
      </c>
      <c r="E61" s="150" t="str">
        <f>'Annex 4'!G72</f>
        <v>Local transport in Kigali. Rental of car</v>
      </c>
      <c r="F61" s="150" t="str">
        <f>'Annex 4'!H72</f>
        <v>daily car rental</v>
      </c>
      <c r="G61" s="145">
        <f>'Annex 4'!I72</f>
        <v>100</v>
      </c>
      <c r="H61" s="150">
        <f>'Annex 4'!J72</f>
        <v>15</v>
      </c>
      <c r="I61" s="150">
        <f>'Annex 4'!K72</f>
        <v>15</v>
      </c>
      <c r="J61" s="150">
        <f>'Annex 4'!L72</f>
        <v>15</v>
      </c>
      <c r="K61" s="150">
        <f>'Annex 4'!M72</f>
        <v>15</v>
      </c>
      <c r="L61" s="150">
        <f>'Annex 4'!N72</f>
        <v>15</v>
      </c>
      <c r="M61" s="152">
        <f t="shared" ref="M61" si="48">$G61*H61</f>
        <v>1500</v>
      </c>
      <c r="N61" s="152">
        <f t="shared" ref="N61" si="49">$G61*I61</f>
        <v>1500</v>
      </c>
      <c r="O61" s="152">
        <f t="shared" ref="O61" si="50">$G61*J61</f>
        <v>1500</v>
      </c>
      <c r="P61" s="152">
        <f t="shared" ref="P61" si="51">$G61*K61</f>
        <v>1500</v>
      </c>
      <c r="Q61" s="152">
        <f t="shared" ref="Q61" si="52">$G61*L61</f>
        <v>1500</v>
      </c>
      <c r="R61" s="166">
        <f t="shared" ref="R61" si="53">SUM(M61:Q61)</f>
        <v>7500</v>
      </c>
      <c r="T61" s="90" t="s">
        <v>376</v>
      </c>
      <c r="Z61" s="18"/>
    </row>
    <row r="62" spans="2:26" ht="42.75">
      <c r="B62" s="286"/>
      <c r="C62" s="150" t="str">
        <f>'Annex 4'!E73</f>
        <v>GCF</v>
      </c>
      <c r="D62" s="150" t="str">
        <f>'Annex 4'!F73</f>
        <v>Local consultants</v>
      </c>
      <c r="E62" s="150" t="str">
        <f>'Annex 4'!G73</f>
        <v xml:space="preserve">Technical support to micro-finance institutions and households to increase access to micro-finance programs. </v>
      </c>
      <c r="F62" s="150" t="str">
        <f>'Annex 4'!H73</f>
        <v>person-day</v>
      </c>
      <c r="G62" s="145">
        <f>'Annex 4'!I73</f>
        <v>150</v>
      </c>
      <c r="H62" s="150">
        <f>'Annex 4'!J73</f>
        <v>0</v>
      </c>
      <c r="I62" s="150">
        <f>'Annex 4'!K73</f>
        <v>40</v>
      </c>
      <c r="J62" s="150">
        <f>'Annex 4'!L73</f>
        <v>40</v>
      </c>
      <c r="K62" s="150">
        <f>'Annex 4'!M73</f>
        <v>40</v>
      </c>
      <c r="L62" s="150">
        <f>'Annex 4'!N73</f>
        <v>40</v>
      </c>
      <c r="M62" s="152">
        <f t="shared" si="42"/>
        <v>0</v>
      </c>
      <c r="N62" s="152">
        <f t="shared" si="43"/>
        <v>6000</v>
      </c>
      <c r="O62" s="152">
        <f t="shared" si="44"/>
        <v>6000</v>
      </c>
      <c r="P62" s="152">
        <f t="shared" si="45"/>
        <v>6000</v>
      </c>
      <c r="Q62" s="152">
        <f t="shared" si="46"/>
        <v>6000</v>
      </c>
      <c r="R62" s="166">
        <f t="shared" si="47"/>
        <v>24000</v>
      </c>
      <c r="T62" s="90" t="s">
        <v>376</v>
      </c>
      <c r="Z62" s="18"/>
    </row>
    <row r="63" spans="2:26" ht="28.5">
      <c r="B63" s="286"/>
      <c r="C63" s="150" t="str">
        <f>'Annex 4'!E74</f>
        <v>GCF</v>
      </c>
      <c r="D63" s="150" t="str">
        <f>'Annex 4'!F74</f>
        <v>Training, workshops, and conference</v>
      </c>
      <c r="E63" s="150" t="str">
        <f>'Annex 4'!G74</f>
        <v>Energy efficiency training</v>
      </c>
      <c r="F63" s="150" t="str">
        <f>'Annex 4'!H74</f>
        <v>workshop</v>
      </c>
      <c r="G63" s="145">
        <f>'Annex 4'!I74</f>
        <v>250</v>
      </c>
      <c r="H63" s="150">
        <f>'Annex 4'!J74</f>
        <v>3</v>
      </c>
      <c r="I63" s="150">
        <f>'Annex 4'!K74</f>
        <v>3</v>
      </c>
      <c r="J63" s="150">
        <f>'Annex 4'!L74</f>
        <v>4</v>
      </c>
      <c r="K63" s="150">
        <f>'Annex 4'!M74</f>
        <v>4</v>
      </c>
      <c r="L63" s="150">
        <f>'Annex 4'!N74</f>
        <v>4</v>
      </c>
      <c r="M63" s="152">
        <f t="shared" ref="M63" si="54">$G63*H63</f>
        <v>750</v>
      </c>
      <c r="N63" s="152">
        <f t="shared" ref="N63" si="55">$G63*I63</f>
        <v>750</v>
      </c>
      <c r="O63" s="152">
        <f t="shared" ref="O63" si="56">$G63*J63</f>
        <v>1000</v>
      </c>
      <c r="P63" s="152">
        <f t="shared" ref="P63" si="57">$G63*K63</f>
        <v>1000</v>
      </c>
      <c r="Q63" s="152">
        <f t="shared" ref="Q63" si="58">$G63*L63</f>
        <v>1000</v>
      </c>
      <c r="R63" s="166">
        <f t="shared" ref="R63" si="59">SUM(M63:Q63)</f>
        <v>4500</v>
      </c>
      <c r="T63" s="90" t="s">
        <v>376</v>
      </c>
      <c r="Z63" s="18"/>
    </row>
    <row r="64" spans="2:26" ht="71.25">
      <c r="B64" s="286"/>
      <c r="C64" s="150" t="str">
        <f>'Annex 4'!E75</f>
        <v>GCF</v>
      </c>
      <c r="D64" s="150" t="str">
        <f>'Annex 4'!F75</f>
        <v xml:space="preserve">Professional/ Contractual Services </v>
      </c>
      <c r="E64" s="150" t="str">
        <f>'Annex 4'!G75</f>
        <v>Detailed design and construction supervision of energy systems. Cost estimated based on industry standard percentage of estimated construction cost (7.6%) for size/type of project.</v>
      </c>
      <c r="F64" s="150">
        <f>'Annex 4'!H75</f>
        <v>0</v>
      </c>
      <c r="G64" s="145">
        <f>'Annex 4'!I75</f>
        <v>460027.14120000007</v>
      </c>
      <c r="H64" s="150">
        <f>'Annex 4'!J75</f>
        <v>0.1</v>
      </c>
      <c r="I64" s="150">
        <f>'Annex 4'!K75</f>
        <v>0.3</v>
      </c>
      <c r="J64" s="150">
        <f>'Annex 4'!L75</f>
        <v>0.3</v>
      </c>
      <c r="K64" s="150">
        <f>'Annex 4'!M75</f>
        <v>0.3</v>
      </c>
      <c r="L64" s="150">
        <f>'Annex 4'!N75</f>
        <v>0</v>
      </c>
      <c r="M64" s="152">
        <f t="shared" ref="M64:M70" si="60">$G64*H64</f>
        <v>46002.714120000011</v>
      </c>
      <c r="N64" s="152">
        <f t="shared" ref="N64:N70" si="61">$G64*I64</f>
        <v>138008.14236000003</v>
      </c>
      <c r="O64" s="152">
        <f t="shared" ref="O64:O70" si="62">$G64*J64</f>
        <v>138008.14236000003</v>
      </c>
      <c r="P64" s="152">
        <f t="shared" ref="P64:P70" si="63">$G64*K64</f>
        <v>138008.14236000003</v>
      </c>
      <c r="Q64" s="152">
        <f t="shared" ref="Q64:Q70" si="64">$G64*L64</f>
        <v>0</v>
      </c>
      <c r="R64" s="166">
        <f t="shared" ref="R64:R70" si="65">SUM(M64:Q64)</f>
        <v>460027.14120000007</v>
      </c>
      <c r="T64" s="90" t="s">
        <v>376</v>
      </c>
      <c r="Z64" s="18"/>
    </row>
    <row r="65" spans="2:26" ht="57">
      <c r="B65" s="286"/>
      <c r="C65" s="150" t="str">
        <f>'Annex 4'!E76</f>
        <v>GCF</v>
      </c>
      <c r="D65" s="150" t="str">
        <f>'Annex 4'!F76</f>
        <v xml:space="preserve">Constuction cost </v>
      </c>
      <c r="E65" s="150" t="str">
        <f>'Annex 4'!G76</f>
        <v>Solar powered street lights. 15 meter centres on collector &amp; access roads. Assumed details from similar projects (including distribution wiring)</v>
      </c>
      <c r="F65" s="150" t="str">
        <f>'Annex 4'!H76</f>
        <v>nr</v>
      </c>
      <c r="G65" s="145">
        <f>'Annex 4'!I76</f>
        <v>6316.2000000000016</v>
      </c>
      <c r="H65" s="150">
        <f>'Annex 4'!J76</f>
        <v>0</v>
      </c>
      <c r="I65" s="150">
        <f>'Annex 4'!K76</f>
        <v>0</v>
      </c>
      <c r="J65" s="150">
        <f>'Annex 4'!L76</f>
        <v>526</v>
      </c>
      <c r="K65" s="150">
        <f>'Annex 4'!M76</f>
        <v>0</v>
      </c>
      <c r="L65" s="150">
        <f>'Annex 4'!N76</f>
        <v>0</v>
      </c>
      <c r="M65" s="152">
        <f t="shared" si="60"/>
        <v>0</v>
      </c>
      <c r="N65" s="152">
        <f t="shared" si="61"/>
        <v>0</v>
      </c>
      <c r="O65" s="152">
        <f t="shared" si="62"/>
        <v>3322321.2000000007</v>
      </c>
      <c r="P65" s="152">
        <f t="shared" si="63"/>
        <v>0</v>
      </c>
      <c r="Q65" s="152">
        <f t="shared" si="64"/>
        <v>0</v>
      </c>
      <c r="R65" s="166">
        <f t="shared" si="65"/>
        <v>3322321.2000000007</v>
      </c>
      <c r="T65" s="90" t="s">
        <v>376</v>
      </c>
      <c r="Z65" s="18"/>
    </row>
    <row r="66" spans="2:26">
      <c r="B66" s="286"/>
      <c r="C66" s="150" t="str">
        <f>'Annex 4'!E77</f>
        <v>GCF</v>
      </c>
      <c r="D66" s="150" t="str">
        <f>'Annex 4'!F77</f>
        <v>Equipment</v>
      </c>
      <c r="E66" s="150" t="str">
        <f>'Annex 4'!G77</f>
        <v>Solar water heaters for pilot homes</v>
      </c>
      <c r="F66" s="150" t="str">
        <f>'Annex 4'!H77</f>
        <v>nr</v>
      </c>
      <c r="G66" s="145">
        <f>'Annex 4'!I77</f>
        <v>1197.9000000000001</v>
      </c>
      <c r="H66" s="150">
        <f>'Annex 4'!J77</f>
        <v>0</v>
      </c>
      <c r="I66" s="150">
        <f>'Annex 4'!K77</f>
        <v>0</v>
      </c>
      <c r="J66" s="150">
        <f>'Annex 4'!L77</f>
        <v>1530</v>
      </c>
      <c r="K66" s="150">
        <f>'Annex 4'!M77</f>
        <v>0</v>
      </c>
      <c r="L66" s="150">
        <f>'Annex 4'!N77</f>
        <v>0</v>
      </c>
      <c r="M66" s="152">
        <f t="shared" si="60"/>
        <v>0</v>
      </c>
      <c r="N66" s="152">
        <f t="shared" si="61"/>
        <v>0</v>
      </c>
      <c r="O66" s="152">
        <f t="shared" si="62"/>
        <v>1832787.0000000002</v>
      </c>
      <c r="P66" s="152">
        <f t="shared" si="63"/>
        <v>0</v>
      </c>
      <c r="Q66" s="152">
        <f t="shared" si="64"/>
        <v>0</v>
      </c>
      <c r="R66" s="166">
        <f t="shared" si="65"/>
        <v>1832787.0000000002</v>
      </c>
      <c r="T66" s="90" t="s">
        <v>376</v>
      </c>
      <c r="Z66" s="18"/>
    </row>
    <row r="67" spans="2:26">
      <c r="B67" s="286"/>
      <c r="C67" s="150" t="str">
        <f>'Annex 4'!E78</f>
        <v>GCF</v>
      </c>
      <c r="D67" s="150" t="str">
        <f>'Annex 4'!F78</f>
        <v>Equipment</v>
      </c>
      <c r="E67" s="150" t="str">
        <f>'Annex 4'!G78</f>
        <v xml:space="preserve">Solar PV for pilot homes </v>
      </c>
      <c r="F67" s="150" t="str">
        <f>'Annex 4'!H78</f>
        <v>nr</v>
      </c>
      <c r="G67" s="145">
        <f>'Annex 4'!I78</f>
        <v>586.85</v>
      </c>
      <c r="H67" s="150">
        <f>'Annex 4'!J78</f>
        <v>0</v>
      </c>
      <c r="I67" s="150">
        <f>'Annex 4'!K78</f>
        <v>0</v>
      </c>
      <c r="J67" s="150">
        <f>'Annex 4'!L78</f>
        <v>1530</v>
      </c>
      <c r="K67" s="150">
        <f>'Annex 4'!M78</f>
        <v>0</v>
      </c>
      <c r="L67" s="150">
        <f>'Annex 4'!N78</f>
        <v>0</v>
      </c>
      <c r="M67" s="152">
        <f t="shared" si="60"/>
        <v>0</v>
      </c>
      <c r="N67" s="152">
        <f t="shared" si="61"/>
        <v>0</v>
      </c>
      <c r="O67" s="152">
        <f t="shared" si="62"/>
        <v>897880.5</v>
      </c>
      <c r="P67" s="152">
        <f t="shared" si="63"/>
        <v>0</v>
      </c>
      <c r="Q67" s="152">
        <f t="shared" si="64"/>
        <v>0</v>
      </c>
      <c r="R67" s="166">
        <f t="shared" si="65"/>
        <v>897880.5</v>
      </c>
      <c r="T67" s="90" t="s">
        <v>376</v>
      </c>
      <c r="Z67" s="18"/>
    </row>
    <row r="68" spans="2:26" ht="57.75" thickBot="1">
      <c r="B68" s="287"/>
      <c r="C68" s="150" t="str">
        <f>'Annex 4'!E79</f>
        <v>GCF</v>
      </c>
      <c r="D68" s="150" t="str">
        <f>'Annex 4'!F79</f>
        <v>Training, workshops, and conference</v>
      </c>
      <c r="E68" s="150" t="str">
        <f>'Annex 4'!G79</f>
        <v>Demonstration of improved cook stoves (expert and materials). Target audience includes households in the village. Assume 10-20  households in each workshop.</v>
      </c>
      <c r="F68" s="150" t="str">
        <f>'Annex 4'!H79</f>
        <v>workshop</v>
      </c>
      <c r="G68" s="145">
        <f>'Annex 4'!I79</f>
        <v>300</v>
      </c>
      <c r="H68" s="150">
        <f>'Annex 4'!J79</f>
        <v>0</v>
      </c>
      <c r="I68" s="150">
        <f>'Annex 4'!K79</f>
        <v>2</v>
      </c>
      <c r="J68" s="150">
        <f>'Annex 4'!L79</f>
        <v>2</v>
      </c>
      <c r="K68" s="150">
        <f>'Annex 4'!M79</f>
        <v>2</v>
      </c>
      <c r="L68" s="150">
        <f>'Annex 4'!N79</f>
        <v>0</v>
      </c>
      <c r="M68" s="152">
        <f t="shared" si="60"/>
        <v>0</v>
      </c>
      <c r="N68" s="152">
        <f t="shared" si="61"/>
        <v>600</v>
      </c>
      <c r="O68" s="152">
        <f t="shared" si="62"/>
        <v>600</v>
      </c>
      <c r="P68" s="152">
        <f t="shared" si="63"/>
        <v>600</v>
      </c>
      <c r="Q68" s="152">
        <f t="shared" si="64"/>
        <v>0</v>
      </c>
      <c r="R68" s="166">
        <f t="shared" si="65"/>
        <v>1800</v>
      </c>
      <c r="T68" s="90" t="s">
        <v>376</v>
      </c>
      <c r="Z68" s="18"/>
    </row>
    <row r="69" spans="2:26" ht="42.75">
      <c r="B69" s="282" t="s">
        <v>266</v>
      </c>
      <c r="C69" s="149" t="str">
        <f>'Annex 4'!E80</f>
        <v>GCF</v>
      </c>
      <c r="D69" s="149" t="str">
        <f>'Annex 4'!F80</f>
        <v>Local consultants</v>
      </c>
      <c r="E69" s="149" t="str">
        <f>'Annex 4'!G80</f>
        <v>Component lead for solid waste management. Establishment of community composting organisation.</v>
      </c>
      <c r="F69" s="149" t="str">
        <f>'Annex 4'!H80</f>
        <v>person-day</v>
      </c>
      <c r="G69" s="148">
        <f>'Annex 4'!I80</f>
        <v>150</v>
      </c>
      <c r="H69" s="149">
        <f>'Annex 4'!J80</f>
        <v>100</v>
      </c>
      <c r="I69" s="149">
        <f>'Annex 4'!K80</f>
        <v>50</v>
      </c>
      <c r="J69" s="149">
        <f>'Annex 4'!L80</f>
        <v>50</v>
      </c>
      <c r="K69" s="149">
        <f>'Annex 4'!M80</f>
        <v>50</v>
      </c>
      <c r="L69" s="149">
        <f>'Annex 4'!N80</f>
        <v>50</v>
      </c>
      <c r="M69" s="151">
        <f t="shared" si="60"/>
        <v>15000</v>
      </c>
      <c r="N69" s="151">
        <f t="shared" si="61"/>
        <v>7500</v>
      </c>
      <c r="O69" s="151">
        <f t="shared" si="62"/>
        <v>7500</v>
      </c>
      <c r="P69" s="151">
        <f t="shared" si="63"/>
        <v>7500</v>
      </c>
      <c r="Q69" s="151">
        <f t="shared" si="64"/>
        <v>7500</v>
      </c>
      <c r="R69" s="165">
        <f t="shared" si="65"/>
        <v>45000</v>
      </c>
      <c r="T69" s="90" t="s">
        <v>377</v>
      </c>
      <c r="Z69" s="18"/>
    </row>
    <row r="70" spans="2:26">
      <c r="B70" s="283"/>
      <c r="C70" s="150" t="str">
        <f>'Annex 4'!E81</f>
        <v>GCF</v>
      </c>
      <c r="D70" s="150" t="str">
        <f>'Annex 4'!F81</f>
        <v>Travel</v>
      </c>
      <c r="E70" s="150" t="str">
        <f>'Annex 4'!G81</f>
        <v>Local transport in Kigali. Rental of car</v>
      </c>
      <c r="F70" s="150" t="str">
        <f>'Annex 4'!H81</f>
        <v>daily car rental</v>
      </c>
      <c r="G70" s="145">
        <f>'Annex 4'!I81</f>
        <v>100</v>
      </c>
      <c r="H70" s="150">
        <f>'Annex 4'!J81</f>
        <v>20</v>
      </c>
      <c r="I70" s="150">
        <f>'Annex 4'!K81</f>
        <v>20</v>
      </c>
      <c r="J70" s="150">
        <f>'Annex 4'!L81</f>
        <v>20</v>
      </c>
      <c r="K70" s="150">
        <f>'Annex 4'!M81</f>
        <v>20</v>
      </c>
      <c r="L70" s="150">
        <f>'Annex 4'!N81</f>
        <v>20</v>
      </c>
      <c r="M70" s="152">
        <f t="shared" si="60"/>
        <v>2000</v>
      </c>
      <c r="N70" s="152">
        <f t="shared" si="61"/>
        <v>2000</v>
      </c>
      <c r="O70" s="152">
        <f t="shared" si="62"/>
        <v>2000</v>
      </c>
      <c r="P70" s="152">
        <f t="shared" si="63"/>
        <v>2000</v>
      </c>
      <c r="Q70" s="152">
        <f t="shared" si="64"/>
        <v>2000</v>
      </c>
      <c r="R70" s="166">
        <f t="shared" si="65"/>
        <v>10000</v>
      </c>
      <c r="T70" s="90" t="s">
        <v>377</v>
      </c>
      <c r="Z70" s="18"/>
    </row>
    <row r="71" spans="2:26">
      <c r="B71" s="283"/>
      <c r="C71" s="150" t="str">
        <f>'Annex 4'!E82</f>
        <v>GCF</v>
      </c>
      <c r="D71" s="150" t="str">
        <f>'Annex 4'!F82</f>
        <v>International consultant</v>
      </c>
      <c r="E71" s="150" t="str">
        <f>'Annex 4'!G82</f>
        <v>Solid waste expert (international expert)</v>
      </c>
      <c r="F71" s="150" t="str">
        <f>'Annex 4'!H82</f>
        <v>person-day</v>
      </c>
      <c r="G71" s="145">
        <f>'Annex 4'!I82</f>
        <v>950</v>
      </c>
      <c r="H71" s="150">
        <f>'Annex 4'!J82</f>
        <v>20</v>
      </c>
      <c r="I71" s="150">
        <f>'Annex 4'!K82</f>
        <v>20</v>
      </c>
      <c r="J71" s="150">
        <f>'Annex 4'!L82</f>
        <v>10</v>
      </c>
      <c r="K71" s="150">
        <f>'Annex 4'!M82</f>
        <v>10</v>
      </c>
      <c r="L71" s="150">
        <f>'Annex 4'!N82</f>
        <v>20</v>
      </c>
      <c r="M71" s="152">
        <f t="shared" ref="M71" si="66">$G71*H71</f>
        <v>19000</v>
      </c>
      <c r="N71" s="152">
        <f t="shared" ref="N71" si="67">$G71*I71</f>
        <v>19000</v>
      </c>
      <c r="O71" s="152">
        <f t="shared" ref="O71" si="68">$G71*J71</f>
        <v>9500</v>
      </c>
      <c r="P71" s="152">
        <f t="shared" ref="P71" si="69">$G71*K71</f>
        <v>9500</v>
      </c>
      <c r="Q71" s="152">
        <f t="shared" ref="Q71" si="70">$G71*L71</f>
        <v>19000</v>
      </c>
      <c r="R71" s="166">
        <f t="shared" ref="R71" si="71">SUM(M71:Q71)</f>
        <v>76000</v>
      </c>
      <c r="T71" s="90" t="s">
        <v>377</v>
      </c>
    </row>
    <row r="72" spans="2:26">
      <c r="B72" s="283"/>
      <c r="C72" s="150" t="str">
        <f>'Annex 4'!E83</f>
        <v>GCF</v>
      </c>
      <c r="D72" s="150" t="str">
        <f>'Annex 4'!F83</f>
        <v>Travel</v>
      </c>
      <c r="E72" s="150" t="str">
        <f>'Annex 4'!G83</f>
        <v>International flight to Kigali</v>
      </c>
      <c r="F72" s="150" t="str">
        <f>'Annex 4'!H83</f>
        <v>roundtrip flight</v>
      </c>
      <c r="G72" s="145">
        <f>'Annex 4'!I83</f>
        <v>1700</v>
      </c>
      <c r="H72" s="150">
        <f>'Annex 4'!J83</f>
        <v>1</v>
      </c>
      <c r="I72" s="150">
        <f>'Annex 4'!K83</f>
        <v>1</v>
      </c>
      <c r="J72" s="150">
        <f>'Annex 4'!L83</f>
        <v>0</v>
      </c>
      <c r="K72" s="150">
        <f>'Annex 4'!M83</f>
        <v>0</v>
      </c>
      <c r="L72" s="150">
        <f>'Annex 4'!N83</f>
        <v>1</v>
      </c>
      <c r="M72" s="152">
        <f t="shared" ref="M72:M81" si="72">$G72*H72</f>
        <v>1700</v>
      </c>
      <c r="N72" s="152">
        <f t="shared" ref="N72:N81" si="73">$G72*I72</f>
        <v>1700</v>
      </c>
      <c r="O72" s="152">
        <f t="shared" ref="O72:O81" si="74">$G72*J72</f>
        <v>0</v>
      </c>
      <c r="P72" s="152">
        <f t="shared" ref="P72:P81" si="75">$G72*K72</f>
        <v>0</v>
      </c>
      <c r="Q72" s="152">
        <f t="shared" ref="Q72:Q81" si="76">$G72*L72</f>
        <v>1700</v>
      </c>
      <c r="R72" s="166">
        <f t="shared" ref="R72:R81" si="77">SUM(M72:Q72)</f>
        <v>5100</v>
      </c>
      <c r="T72" s="90" t="s">
        <v>377</v>
      </c>
    </row>
    <row r="73" spans="2:26">
      <c r="B73" s="283"/>
      <c r="C73" s="150" t="str">
        <f>'Annex 4'!E84</f>
        <v>GCF</v>
      </c>
      <c r="D73" s="150" t="str">
        <f>'Annex 4'!F84</f>
        <v>Travel</v>
      </c>
      <c r="E73" s="150" t="str">
        <f>'Annex 4'!G84</f>
        <v>Per diem in Kigali (including lodging)</v>
      </c>
      <c r="F73" s="150" t="str">
        <f>'Annex 4'!H84</f>
        <v>days</v>
      </c>
      <c r="G73" s="145">
        <f>'Annex 4'!I84</f>
        <v>200</v>
      </c>
      <c r="H73" s="150">
        <f>'Annex 4'!J84</f>
        <v>7</v>
      </c>
      <c r="I73" s="150">
        <f>'Annex 4'!K84</f>
        <v>7</v>
      </c>
      <c r="J73" s="150">
        <f>'Annex 4'!L84</f>
        <v>0</v>
      </c>
      <c r="K73" s="150">
        <f>'Annex 4'!M84</f>
        <v>0</v>
      </c>
      <c r="L73" s="150">
        <f>'Annex 4'!N84</f>
        <v>7</v>
      </c>
      <c r="M73" s="152">
        <f t="shared" si="72"/>
        <v>1400</v>
      </c>
      <c r="N73" s="152">
        <f t="shared" si="73"/>
        <v>1400</v>
      </c>
      <c r="O73" s="152">
        <f t="shared" si="74"/>
        <v>0</v>
      </c>
      <c r="P73" s="152">
        <f t="shared" si="75"/>
        <v>0</v>
      </c>
      <c r="Q73" s="152">
        <f t="shared" si="76"/>
        <v>1400</v>
      </c>
      <c r="R73" s="166">
        <f t="shared" si="77"/>
        <v>4200</v>
      </c>
      <c r="T73" s="90" t="s">
        <v>377</v>
      </c>
    </row>
    <row r="74" spans="2:26" ht="28.5">
      <c r="B74" s="283"/>
      <c r="C74" s="150" t="str">
        <f>'Annex 4'!E85</f>
        <v>GCF</v>
      </c>
      <c r="D74" s="150" t="str">
        <f>'Annex 4'!F85</f>
        <v>Local consultants</v>
      </c>
      <c r="E74" s="150" t="str">
        <f>'Annex 4'!G85</f>
        <v>Community Sustainability Liaison (waste ambassador and other support)</v>
      </c>
      <c r="F74" s="150" t="str">
        <f>'Annex 4'!H85</f>
        <v>person-days</v>
      </c>
      <c r="G74" s="145">
        <f>'Annex 4'!I85</f>
        <v>50</v>
      </c>
      <c r="H74" s="150">
        <f>'Annex 4'!J85</f>
        <v>20</v>
      </c>
      <c r="I74" s="150">
        <f>'Annex 4'!K85</f>
        <v>100</v>
      </c>
      <c r="J74" s="150">
        <f>'Annex 4'!L85</f>
        <v>100</v>
      </c>
      <c r="K74" s="150">
        <f>'Annex 4'!M85</f>
        <v>50</v>
      </c>
      <c r="L74" s="150">
        <f>'Annex 4'!N85</f>
        <v>50</v>
      </c>
      <c r="M74" s="152">
        <f t="shared" ref="M74" si="78">$G74*H74</f>
        <v>1000</v>
      </c>
      <c r="N74" s="152">
        <f t="shared" ref="N74" si="79">$G74*I74</f>
        <v>5000</v>
      </c>
      <c r="O74" s="152">
        <f t="shared" ref="O74" si="80">$G74*J74</f>
        <v>5000</v>
      </c>
      <c r="P74" s="152">
        <f t="shared" ref="P74" si="81">$G74*K74</f>
        <v>2500</v>
      </c>
      <c r="Q74" s="152">
        <f t="shared" ref="Q74" si="82">$G74*L74</f>
        <v>2500</v>
      </c>
      <c r="R74" s="166">
        <f t="shared" ref="R74" si="83">SUM(M74:Q74)</f>
        <v>16000</v>
      </c>
      <c r="T74" s="90" t="s">
        <v>377</v>
      </c>
    </row>
    <row r="75" spans="2:26" ht="71.25">
      <c r="B75" s="283"/>
      <c r="C75" s="150" t="str">
        <f>'Annex 4'!E86</f>
        <v>GCF</v>
      </c>
      <c r="D75" s="150" t="str">
        <f>'Annex 4'!F86</f>
        <v xml:space="preserve">Professional/ Contractual Services </v>
      </c>
      <c r="E75" s="150" t="str">
        <f>'Annex 4'!G86</f>
        <v>Detailed design of neighborhood collection points for recycables and composting facility. Cost estimated based on industry standard percentage of estimated construction cost (11.5%) for size/type of project.</v>
      </c>
      <c r="F75" s="150" t="str">
        <f>'Annex 4'!H86</f>
        <v>total</v>
      </c>
      <c r="G75" s="145">
        <f>'Annex 4'!I86</f>
        <v>15062.987500000003</v>
      </c>
      <c r="H75" s="150">
        <f>'Annex 4'!J86</f>
        <v>0</v>
      </c>
      <c r="I75" s="150">
        <f>'Annex 4'!K86</f>
        <v>1</v>
      </c>
      <c r="J75" s="150">
        <f>'Annex 4'!L86</f>
        <v>0</v>
      </c>
      <c r="K75" s="150">
        <f>'Annex 4'!M86</f>
        <v>0</v>
      </c>
      <c r="L75" s="150">
        <f>'Annex 4'!N86</f>
        <v>0</v>
      </c>
      <c r="M75" s="152">
        <f t="shared" si="72"/>
        <v>0</v>
      </c>
      <c r="N75" s="152">
        <f t="shared" si="73"/>
        <v>15062.987500000003</v>
      </c>
      <c r="O75" s="152">
        <f t="shared" si="74"/>
        <v>0</v>
      </c>
      <c r="P75" s="152">
        <f t="shared" si="75"/>
        <v>0</v>
      </c>
      <c r="Q75" s="152">
        <f t="shared" si="76"/>
        <v>0</v>
      </c>
      <c r="R75" s="166">
        <f t="shared" si="77"/>
        <v>15062.987500000003</v>
      </c>
      <c r="T75" s="90" t="s">
        <v>377</v>
      </c>
    </row>
    <row r="76" spans="2:26" ht="99.75">
      <c r="B76" s="283"/>
      <c r="C76" s="150" t="str">
        <f>'Annex 4'!E87</f>
        <v>GCF</v>
      </c>
      <c r="D76" s="150" t="str">
        <f>'Annex 4'!F87</f>
        <v xml:space="preserve">Constuction cost </v>
      </c>
      <c r="E76" s="150" t="str">
        <f>'Annex 4'!G87</f>
        <v>Construction of neighborhood collection points for recyclables. Assumed typology as Smart collection systems by smart africa &amp; norad- See image ( example at zinia Market in Kicukiro. Concrete slab ,roof, structure &amp; steel facility ( Assumed 2 for community facility each consisting 3 waste collection points)</v>
      </c>
      <c r="F76" s="150" t="str">
        <f>'Annex 4'!H87</f>
        <v>lump sum</v>
      </c>
      <c r="G76" s="145">
        <f>'Annex 4'!I87</f>
        <v>15125</v>
      </c>
      <c r="H76" s="150">
        <f>'Annex 4'!J87</f>
        <v>0</v>
      </c>
      <c r="I76" s="150">
        <f>'Annex 4'!K87</f>
        <v>2</v>
      </c>
      <c r="J76" s="150">
        <f>'Annex 4'!L87</f>
        <v>0</v>
      </c>
      <c r="K76" s="150">
        <f>'Annex 4'!M87</f>
        <v>0</v>
      </c>
      <c r="L76" s="150">
        <f>'Annex 4'!N87</f>
        <v>0</v>
      </c>
      <c r="M76" s="152">
        <f t="shared" si="72"/>
        <v>0</v>
      </c>
      <c r="N76" s="152">
        <f t="shared" si="73"/>
        <v>30250</v>
      </c>
      <c r="O76" s="152">
        <f t="shared" si="74"/>
        <v>0</v>
      </c>
      <c r="P76" s="152">
        <f t="shared" si="75"/>
        <v>0</v>
      </c>
      <c r="Q76" s="152">
        <f t="shared" si="76"/>
        <v>0</v>
      </c>
      <c r="R76" s="166">
        <f t="shared" si="77"/>
        <v>30250</v>
      </c>
      <c r="T76" s="90" t="s">
        <v>377</v>
      </c>
    </row>
    <row r="77" spans="2:26">
      <c r="B77" s="283"/>
      <c r="C77" s="150" t="str">
        <f>'Annex 4'!E88</f>
        <v>GCF</v>
      </c>
      <c r="D77" s="150" t="str">
        <f>'Annex 4'!F88</f>
        <v xml:space="preserve">Constuction cost </v>
      </c>
      <c r="E77" s="150" t="str">
        <f>'Annex 4'!G88</f>
        <v>Composting facility. Civil works.</v>
      </c>
      <c r="F77" s="150" t="str">
        <f>'Annex 4'!H88</f>
        <v>m2</v>
      </c>
      <c r="G77" s="145">
        <f>'Annex 4'!I88</f>
        <v>181.50000000000003</v>
      </c>
      <c r="H77" s="150">
        <f>'Annex 4'!J88</f>
        <v>0</v>
      </c>
      <c r="I77" s="150">
        <f>'Annex 4'!K88</f>
        <v>0</v>
      </c>
      <c r="J77" s="150">
        <f>'Annex 4'!L88</f>
        <v>555</v>
      </c>
      <c r="K77" s="150">
        <f>'Annex 4'!M88</f>
        <v>0</v>
      </c>
      <c r="L77" s="150">
        <f>'Annex 4'!N88</f>
        <v>0</v>
      </c>
      <c r="M77" s="152">
        <f t="shared" si="72"/>
        <v>0</v>
      </c>
      <c r="N77" s="152">
        <f t="shared" si="73"/>
        <v>0</v>
      </c>
      <c r="O77" s="152">
        <f t="shared" si="74"/>
        <v>100732.50000000001</v>
      </c>
      <c r="P77" s="152">
        <f t="shared" si="75"/>
        <v>0</v>
      </c>
      <c r="Q77" s="152">
        <f t="shared" si="76"/>
        <v>0</v>
      </c>
      <c r="R77" s="166">
        <f t="shared" si="77"/>
        <v>100732.50000000001</v>
      </c>
      <c r="T77" s="90" t="s">
        <v>377</v>
      </c>
    </row>
    <row r="78" spans="2:26" ht="57">
      <c r="B78" s="283"/>
      <c r="C78" s="150" t="str">
        <f>'Annex 4'!E89</f>
        <v>GCF</v>
      </c>
      <c r="D78" s="150" t="str">
        <f>'Annex 4'!F89</f>
        <v>Training, workshops, and conference</v>
      </c>
      <c r="E78" s="150" t="str">
        <f>'Annex 4'!G89</f>
        <v xml:space="preserve">Training with composting organisation and followup. Target audience is the members of the composting organisation. Workshop fee includes some materials. </v>
      </c>
      <c r="F78" s="150" t="str">
        <f>'Annex 4'!H89</f>
        <v>workshop</v>
      </c>
      <c r="G78" s="145">
        <f>'Annex 4'!I89</f>
        <v>400</v>
      </c>
      <c r="H78" s="150">
        <f>'Annex 4'!J89</f>
        <v>2</v>
      </c>
      <c r="I78" s="150">
        <f>'Annex 4'!K89</f>
        <v>2</v>
      </c>
      <c r="J78" s="150">
        <f>'Annex 4'!L89</f>
        <v>2</v>
      </c>
      <c r="K78" s="150">
        <f>'Annex 4'!M89</f>
        <v>2</v>
      </c>
      <c r="L78" s="150">
        <f>'Annex 4'!N89</f>
        <v>2</v>
      </c>
      <c r="M78" s="152">
        <f t="shared" si="72"/>
        <v>800</v>
      </c>
      <c r="N78" s="152">
        <f t="shared" si="73"/>
        <v>800</v>
      </c>
      <c r="O78" s="152">
        <f t="shared" si="74"/>
        <v>800</v>
      </c>
      <c r="P78" s="152">
        <f t="shared" si="75"/>
        <v>800</v>
      </c>
      <c r="Q78" s="152">
        <f t="shared" si="76"/>
        <v>800</v>
      </c>
      <c r="R78" s="166">
        <f t="shared" si="77"/>
        <v>4000</v>
      </c>
      <c r="T78" s="90" t="s">
        <v>377</v>
      </c>
    </row>
    <row r="79" spans="2:26" ht="57.75" thickBot="1">
      <c r="B79" s="284"/>
      <c r="C79" s="150" t="str">
        <f>'Annex 4'!E90</f>
        <v>GCF</v>
      </c>
      <c r="D79" s="150" t="str">
        <f>'Annex 4'!F90</f>
        <v>Training, workshops, and conference</v>
      </c>
      <c r="E79" s="150" t="str">
        <f>'Annex 4'!G90</f>
        <v>Community training on sorting recyclables and food waste, etc. Includes materials, expert input time, and training sessions for all households.</v>
      </c>
      <c r="F79" s="150" t="str">
        <f>'Annex 4'!H90</f>
        <v>annual lump sum</v>
      </c>
      <c r="G79" s="145">
        <f>'Annex 4'!I90</f>
        <v>500</v>
      </c>
      <c r="H79" s="150">
        <f>'Annex 4'!J90</f>
        <v>1</v>
      </c>
      <c r="I79" s="150">
        <f>'Annex 4'!K90</f>
        <v>1</v>
      </c>
      <c r="J79" s="150">
        <f>'Annex 4'!L90</f>
        <v>1</v>
      </c>
      <c r="K79" s="150">
        <f>'Annex 4'!M90</f>
        <v>1</v>
      </c>
      <c r="L79" s="150">
        <f>'Annex 4'!N90</f>
        <v>1</v>
      </c>
      <c r="M79" s="152">
        <f t="shared" si="72"/>
        <v>500</v>
      </c>
      <c r="N79" s="152">
        <f t="shared" si="73"/>
        <v>500</v>
      </c>
      <c r="O79" s="152">
        <f t="shared" si="74"/>
        <v>500</v>
      </c>
      <c r="P79" s="152">
        <f t="shared" si="75"/>
        <v>500</v>
      </c>
      <c r="Q79" s="152">
        <f t="shared" si="76"/>
        <v>500</v>
      </c>
      <c r="R79" s="166">
        <f t="shared" si="77"/>
        <v>2500</v>
      </c>
      <c r="T79" s="90" t="s">
        <v>377</v>
      </c>
    </row>
    <row r="80" spans="2:26">
      <c r="B80" s="289" t="s">
        <v>378</v>
      </c>
      <c r="C80" s="149" t="str">
        <f>'Annex 4'!E91</f>
        <v>GCF</v>
      </c>
      <c r="D80" s="149" t="str">
        <f>'Annex 4'!F91</f>
        <v>Local consultants</v>
      </c>
      <c r="E80" s="149" t="str">
        <f>'Annex 4'!G91</f>
        <v>Component lead for community facilities</v>
      </c>
      <c r="F80" s="149" t="str">
        <f>'Annex 4'!H91</f>
        <v>person-day</v>
      </c>
      <c r="G80" s="148">
        <f>'Annex 4'!I91</f>
        <v>150</v>
      </c>
      <c r="H80" s="149">
        <f>'Annex 4'!J91</f>
        <v>150</v>
      </c>
      <c r="I80" s="149">
        <f>'Annex 4'!K91</f>
        <v>250</v>
      </c>
      <c r="J80" s="149">
        <f>'Annex 4'!L91</f>
        <v>250</v>
      </c>
      <c r="K80" s="149">
        <f>'Annex 4'!M91</f>
        <v>250</v>
      </c>
      <c r="L80" s="149">
        <f>'Annex 4'!N91</f>
        <v>250</v>
      </c>
      <c r="M80" s="151">
        <f t="shared" si="72"/>
        <v>22500</v>
      </c>
      <c r="N80" s="151">
        <f t="shared" si="73"/>
        <v>37500</v>
      </c>
      <c r="O80" s="151">
        <f t="shared" si="74"/>
        <v>37500</v>
      </c>
      <c r="P80" s="151">
        <f t="shared" si="75"/>
        <v>37500</v>
      </c>
      <c r="Q80" s="151">
        <f t="shared" si="76"/>
        <v>37500</v>
      </c>
      <c r="R80" s="165">
        <f t="shared" si="77"/>
        <v>172500</v>
      </c>
      <c r="T80" s="90" t="s">
        <v>379</v>
      </c>
    </row>
    <row r="81" spans="2:20">
      <c r="B81" s="286"/>
      <c r="C81" s="150" t="str">
        <f>'Annex 4'!E92</f>
        <v>GCF</v>
      </c>
      <c r="D81" s="150" t="str">
        <f>'Annex 4'!F92</f>
        <v>Travel</v>
      </c>
      <c r="E81" s="150" t="str">
        <f>'Annex 4'!G92</f>
        <v>Local transport in Kigali. Rental of car</v>
      </c>
      <c r="F81" s="150" t="str">
        <f>'Annex 4'!H92</f>
        <v>daily car rental</v>
      </c>
      <c r="G81" s="145">
        <f>'Annex 4'!I92</f>
        <v>100</v>
      </c>
      <c r="H81" s="150">
        <f>'Annex 4'!J92</f>
        <v>40</v>
      </c>
      <c r="I81" s="150">
        <f>'Annex 4'!K92</f>
        <v>40</v>
      </c>
      <c r="J81" s="150">
        <f>'Annex 4'!L92</f>
        <v>40</v>
      </c>
      <c r="K81" s="150">
        <f>'Annex 4'!M92</f>
        <v>40</v>
      </c>
      <c r="L81" s="150">
        <f>'Annex 4'!N92</f>
        <v>40</v>
      </c>
      <c r="M81" s="152">
        <f t="shared" si="72"/>
        <v>4000</v>
      </c>
      <c r="N81" s="152">
        <f t="shared" si="73"/>
        <v>4000</v>
      </c>
      <c r="O81" s="152">
        <f t="shared" si="74"/>
        <v>4000</v>
      </c>
      <c r="P81" s="152">
        <f t="shared" si="75"/>
        <v>4000</v>
      </c>
      <c r="Q81" s="152">
        <f t="shared" si="76"/>
        <v>4000</v>
      </c>
      <c r="R81" s="166">
        <f t="shared" si="77"/>
        <v>20000</v>
      </c>
      <c r="T81" s="90" t="s">
        <v>379</v>
      </c>
    </row>
    <row r="82" spans="2:20">
      <c r="B82" s="286"/>
      <c r="C82" s="150" t="str">
        <f>'Annex 4'!E93</f>
        <v>GCF</v>
      </c>
      <c r="D82" s="150" t="str">
        <f>'Annex 4'!F93</f>
        <v>International consultant</v>
      </c>
      <c r="E82" s="150" t="str">
        <f>'Annex 4'!G93</f>
        <v>Architect (international expert)</v>
      </c>
      <c r="F82" s="150" t="str">
        <f>'Annex 4'!H93</f>
        <v>person-day</v>
      </c>
      <c r="G82" s="145">
        <f>'Annex 4'!I93</f>
        <v>950</v>
      </c>
      <c r="H82" s="150">
        <f>'Annex 4'!J93</f>
        <v>20</v>
      </c>
      <c r="I82" s="150">
        <f>'Annex 4'!K93</f>
        <v>20</v>
      </c>
      <c r="J82" s="150">
        <f>'Annex 4'!L93</f>
        <v>10</v>
      </c>
      <c r="K82" s="150">
        <f>'Annex 4'!M93</f>
        <v>10</v>
      </c>
      <c r="L82" s="150">
        <f>'Annex 4'!N93</f>
        <v>20</v>
      </c>
      <c r="M82" s="152">
        <f t="shared" ref="M82" si="84">$G82*H82</f>
        <v>19000</v>
      </c>
      <c r="N82" s="152">
        <f t="shared" ref="N82" si="85">$G82*I82</f>
        <v>19000</v>
      </c>
      <c r="O82" s="152">
        <f t="shared" ref="O82" si="86">$G82*J82</f>
        <v>9500</v>
      </c>
      <c r="P82" s="152">
        <f t="shared" ref="P82" si="87">$G82*K82</f>
        <v>9500</v>
      </c>
      <c r="Q82" s="152">
        <f t="shared" ref="Q82" si="88">$G82*L82</f>
        <v>19000</v>
      </c>
      <c r="R82" s="166">
        <f t="shared" ref="R82" si="89">SUM(M82:Q82)</f>
        <v>76000</v>
      </c>
      <c r="T82" s="90" t="s">
        <v>379</v>
      </c>
    </row>
    <row r="83" spans="2:20">
      <c r="B83" s="286"/>
      <c r="C83" s="150" t="str">
        <f>'Annex 4'!E94</f>
        <v>GCF</v>
      </c>
      <c r="D83" s="150" t="str">
        <f>'Annex 4'!F94</f>
        <v>Travel</v>
      </c>
      <c r="E83" s="150" t="str">
        <f>'Annex 4'!G94</f>
        <v>International flight to Kigali</v>
      </c>
      <c r="F83" s="150" t="str">
        <f>'Annex 4'!H94</f>
        <v>roundtrip flight</v>
      </c>
      <c r="G83" s="145">
        <f>'Annex 4'!I94</f>
        <v>1700</v>
      </c>
      <c r="H83" s="150">
        <f>'Annex 4'!J94</f>
        <v>1</v>
      </c>
      <c r="I83" s="150">
        <f>'Annex 4'!K94</f>
        <v>1</v>
      </c>
      <c r="J83" s="150">
        <f>'Annex 4'!L94</f>
        <v>0</v>
      </c>
      <c r="K83" s="150">
        <f>'Annex 4'!M94</f>
        <v>0</v>
      </c>
      <c r="L83" s="150">
        <f>'Annex 4'!N94</f>
        <v>1</v>
      </c>
      <c r="M83" s="152">
        <f t="shared" ref="M83:M94" si="90">$G83*H83</f>
        <v>1700</v>
      </c>
      <c r="N83" s="152">
        <f t="shared" ref="N83:N94" si="91">$G83*I83</f>
        <v>1700</v>
      </c>
      <c r="O83" s="152">
        <f t="shared" ref="O83:O94" si="92">$G83*J83</f>
        <v>0</v>
      </c>
      <c r="P83" s="152">
        <f t="shared" ref="P83:P94" si="93">$G83*K83</f>
        <v>0</v>
      </c>
      <c r="Q83" s="152">
        <f t="shared" ref="Q83:Q94" si="94">$G83*L83</f>
        <v>1700</v>
      </c>
      <c r="R83" s="166">
        <f t="shared" ref="R83:R94" si="95">SUM(M83:Q83)</f>
        <v>5100</v>
      </c>
      <c r="T83" s="90" t="s">
        <v>379</v>
      </c>
    </row>
    <row r="84" spans="2:20">
      <c r="B84" s="286"/>
      <c r="C84" s="150" t="str">
        <f>'Annex 4'!E95</f>
        <v>GCF</v>
      </c>
      <c r="D84" s="150" t="str">
        <f>'Annex 4'!F95</f>
        <v>Travel</v>
      </c>
      <c r="E84" s="150" t="str">
        <f>'Annex 4'!G95</f>
        <v>Per diem in Kigali (including lodging)</v>
      </c>
      <c r="F84" s="150" t="str">
        <f>'Annex 4'!H95</f>
        <v>days</v>
      </c>
      <c r="G84" s="145">
        <f>'Annex 4'!I95</f>
        <v>200</v>
      </c>
      <c r="H84" s="150">
        <f>'Annex 4'!J95</f>
        <v>7</v>
      </c>
      <c r="I84" s="150">
        <f>'Annex 4'!K95</f>
        <v>7</v>
      </c>
      <c r="J84" s="150">
        <f>'Annex 4'!L95</f>
        <v>0</v>
      </c>
      <c r="K84" s="150">
        <f>'Annex 4'!M95</f>
        <v>0</v>
      </c>
      <c r="L84" s="150">
        <f>'Annex 4'!N95</f>
        <v>7</v>
      </c>
      <c r="M84" s="152">
        <f t="shared" si="90"/>
        <v>1400</v>
      </c>
      <c r="N84" s="152">
        <f t="shared" si="91"/>
        <v>1400</v>
      </c>
      <c r="O84" s="152">
        <f t="shared" si="92"/>
        <v>0</v>
      </c>
      <c r="P84" s="152">
        <f t="shared" si="93"/>
        <v>0</v>
      </c>
      <c r="Q84" s="152">
        <f t="shared" si="94"/>
        <v>1400</v>
      </c>
      <c r="R84" s="166">
        <f t="shared" si="95"/>
        <v>4200</v>
      </c>
      <c r="T84" s="90" t="s">
        <v>379</v>
      </c>
    </row>
    <row r="85" spans="2:20" ht="57">
      <c r="B85" s="286"/>
      <c r="C85" s="150" t="str">
        <f>'Annex 4'!E96</f>
        <v>GCF</v>
      </c>
      <c r="D85" s="150" t="str">
        <f>'Annex 4'!F96</f>
        <v xml:space="preserve">Professional/ Contractual Services </v>
      </c>
      <c r="E85" s="150" t="str">
        <f>'Annex 4'!G96</f>
        <v>Detailed design and construction supervision of TVET. Cost estimated based on industry standard percentage of estimated construction cost (11.5%) for size/type of project.</v>
      </c>
      <c r="F85" s="150" t="str">
        <f>'Annex 4'!H96</f>
        <v>total</v>
      </c>
      <c r="G85" s="145">
        <f>'Annex 4'!I96</f>
        <v>58164.700000000004</v>
      </c>
      <c r="H85" s="150">
        <f>'Annex 4'!J96</f>
        <v>0</v>
      </c>
      <c r="I85" s="150">
        <f>'Annex 4'!K96</f>
        <v>0.5</v>
      </c>
      <c r="J85" s="150">
        <f>'Annex 4'!L96</f>
        <v>0.5</v>
      </c>
      <c r="K85" s="150">
        <f>'Annex 4'!M96</f>
        <v>0</v>
      </c>
      <c r="L85" s="150">
        <f>'Annex 4'!N96</f>
        <v>0</v>
      </c>
      <c r="M85" s="152">
        <f t="shared" si="90"/>
        <v>0</v>
      </c>
      <c r="N85" s="152">
        <f t="shared" si="91"/>
        <v>29082.350000000002</v>
      </c>
      <c r="O85" s="152">
        <f t="shared" si="92"/>
        <v>29082.350000000002</v>
      </c>
      <c r="P85" s="152">
        <f t="shared" si="93"/>
        <v>0</v>
      </c>
      <c r="Q85" s="152">
        <f t="shared" si="94"/>
        <v>0</v>
      </c>
      <c r="R85" s="166">
        <f t="shared" si="95"/>
        <v>58164.700000000004</v>
      </c>
      <c r="T85" s="90" t="s">
        <v>379</v>
      </c>
    </row>
    <row r="86" spans="2:20" ht="71.25">
      <c r="B86" s="286"/>
      <c r="C86" s="150" t="str">
        <f>'Annex 4'!E97</f>
        <v>GCF</v>
      </c>
      <c r="D86" s="150" t="str">
        <f>'Annex 4'!F97</f>
        <v xml:space="preserve">Professional/ Contractual Services </v>
      </c>
      <c r="E86" s="150" t="str">
        <f>'Annex 4'!G97</f>
        <v>Detailed design and construction supervision of upgrade to current market area and community centre. Cost estimated based on industry standard percentage of estimated construction cost (11.5%) for size/type of project.</v>
      </c>
      <c r="F86" s="150" t="str">
        <f>'Annex 4'!H97</f>
        <v>total</v>
      </c>
      <c r="G86" s="145">
        <f>'Annex 4'!I97</f>
        <v>8812.3695000000025</v>
      </c>
      <c r="H86" s="150">
        <f>'Annex 4'!J97</f>
        <v>0</v>
      </c>
      <c r="I86" s="150">
        <f>'Annex 4'!K97</f>
        <v>1</v>
      </c>
      <c r="J86" s="150">
        <f>'Annex 4'!L97</f>
        <v>0</v>
      </c>
      <c r="K86" s="150">
        <f>'Annex 4'!M97</f>
        <v>0</v>
      </c>
      <c r="L86" s="150">
        <f>'Annex 4'!N97</f>
        <v>0</v>
      </c>
      <c r="M86" s="152">
        <f t="shared" si="90"/>
        <v>0</v>
      </c>
      <c r="N86" s="152">
        <f t="shared" si="91"/>
        <v>8812.3695000000025</v>
      </c>
      <c r="O86" s="152">
        <f t="shared" si="92"/>
        <v>0</v>
      </c>
      <c r="P86" s="152">
        <f t="shared" si="93"/>
        <v>0</v>
      </c>
      <c r="Q86" s="152">
        <f t="shared" si="94"/>
        <v>0</v>
      </c>
      <c r="R86" s="166">
        <f t="shared" si="95"/>
        <v>8812.3695000000025</v>
      </c>
      <c r="T86" s="90" t="s">
        <v>379</v>
      </c>
    </row>
    <row r="87" spans="2:20">
      <c r="B87" s="286"/>
      <c r="C87" s="150" t="str">
        <f>'Annex 4'!E98</f>
        <v>GCF</v>
      </c>
      <c r="D87" s="150" t="str">
        <f>'Annex 4'!F98</f>
        <v xml:space="preserve">Constuction cost </v>
      </c>
      <c r="E87" s="150" t="str">
        <f>'Annex 4'!G98</f>
        <v xml:space="preserve">TVET building &amp; associated landscape. </v>
      </c>
      <c r="F87" s="150" t="str">
        <f>'Annex 4'!H98</f>
        <v>m2</v>
      </c>
      <c r="G87" s="145">
        <f>'Annex 4'!I98</f>
        <v>605</v>
      </c>
      <c r="H87" s="150">
        <f>'Annex 4'!J98</f>
        <v>0</v>
      </c>
      <c r="I87" s="150">
        <f>'Annex 4'!K98</f>
        <v>0</v>
      </c>
      <c r="J87" s="150">
        <f>'Annex 4'!L98</f>
        <v>800</v>
      </c>
      <c r="K87" s="150">
        <f>'Annex 4'!M98</f>
        <v>0</v>
      </c>
      <c r="L87" s="150">
        <f>'Annex 4'!N98</f>
        <v>0</v>
      </c>
      <c r="M87" s="152">
        <f t="shared" si="90"/>
        <v>0</v>
      </c>
      <c r="N87" s="152">
        <f t="shared" si="91"/>
        <v>0</v>
      </c>
      <c r="O87" s="152">
        <f t="shared" si="92"/>
        <v>484000</v>
      </c>
      <c r="P87" s="152">
        <f t="shared" si="93"/>
        <v>0</v>
      </c>
      <c r="Q87" s="152">
        <f t="shared" si="94"/>
        <v>0</v>
      </c>
      <c r="R87" s="166">
        <f t="shared" si="95"/>
        <v>484000</v>
      </c>
      <c r="T87" s="90" t="s">
        <v>379</v>
      </c>
    </row>
    <row r="88" spans="2:20" ht="28.5">
      <c r="B88" s="286"/>
      <c r="C88" s="150" t="str">
        <f>'Annex 4'!E99</f>
        <v>GCF</v>
      </c>
      <c r="D88" s="150" t="str">
        <f>'Annex 4'!F99</f>
        <v>Equipment</v>
      </c>
      <c r="E88" s="150" t="str">
        <f>'Annex 4'!G99</f>
        <v>General TVET equipment ( hand held tools, fixtures, moulds etc)</v>
      </c>
      <c r="F88" s="150" t="str">
        <f>'Annex 4'!H99</f>
        <v>nr</v>
      </c>
      <c r="G88" s="145">
        <f>'Annex 4'!I99</f>
        <v>21780</v>
      </c>
      <c r="H88" s="150">
        <f>'Annex 4'!J99</f>
        <v>0</v>
      </c>
      <c r="I88" s="150">
        <f>'Annex 4'!K99</f>
        <v>0</v>
      </c>
      <c r="J88" s="150">
        <f>'Annex 4'!L99</f>
        <v>0</v>
      </c>
      <c r="K88" s="150">
        <f>'Annex 4'!M99</f>
        <v>1</v>
      </c>
      <c r="L88" s="150">
        <f>'Annex 4'!N99</f>
        <v>0</v>
      </c>
      <c r="M88" s="152">
        <f t="shared" si="90"/>
        <v>0</v>
      </c>
      <c r="N88" s="152">
        <f t="shared" si="91"/>
        <v>0</v>
      </c>
      <c r="O88" s="152">
        <f t="shared" si="92"/>
        <v>0</v>
      </c>
      <c r="P88" s="152">
        <f t="shared" si="93"/>
        <v>21780</v>
      </c>
      <c r="Q88" s="152">
        <f t="shared" si="94"/>
        <v>0</v>
      </c>
      <c r="R88" s="166">
        <f t="shared" si="95"/>
        <v>21780</v>
      </c>
      <c r="T88" s="90" t="s">
        <v>379</v>
      </c>
    </row>
    <row r="89" spans="2:20" ht="57">
      <c r="B89" s="286"/>
      <c r="C89" s="150" t="str">
        <f>'Annex 4'!E100</f>
        <v>GCF</v>
      </c>
      <c r="D89" s="150" t="str">
        <f>'Annex 4'!F100</f>
        <v xml:space="preserve">Constuction cost </v>
      </c>
      <c r="E89" s="150" t="str">
        <f>'Annex 4'!G100</f>
        <v>Marketplace roof and frame of local timber inc. rain harvesting &amp; solar PV. Based on attached concept. . Changed this m2 ( PV installations not included in Price- Elec Eng Input required)</v>
      </c>
      <c r="F89" s="150" t="str">
        <f>'Annex 4'!H100</f>
        <v>m2</v>
      </c>
      <c r="G89" s="145">
        <f>'Annex 4'!I100</f>
        <v>60.500000000000014</v>
      </c>
      <c r="H89" s="150">
        <f>'Annex 4'!J100</f>
        <v>0</v>
      </c>
      <c r="I89" s="150">
        <f>'Annex 4'!K100</f>
        <v>0</v>
      </c>
      <c r="J89" s="150">
        <f>'Annex 4'!L100</f>
        <v>160</v>
      </c>
      <c r="K89" s="150">
        <f>'Annex 4'!M100</f>
        <v>0</v>
      </c>
      <c r="L89" s="150">
        <f>'Annex 4'!N100</f>
        <v>0</v>
      </c>
      <c r="M89" s="152">
        <f t="shared" si="90"/>
        <v>0</v>
      </c>
      <c r="N89" s="152">
        <f t="shared" si="91"/>
        <v>0</v>
      </c>
      <c r="O89" s="152">
        <f t="shared" si="92"/>
        <v>9680.0000000000018</v>
      </c>
      <c r="P89" s="152">
        <f t="shared" si="93"/>
        <v>0</v>
      </c>
      <c r="Q89" s="152">
        <f t="shared" si="94"/>
        <v>0</v>
      </c>
      <c r="R89" s="166">
        <f t="shared" si="95"/>
        <v>9680.0000000000018</v>
      </c>
      <c r="T89" s="90" t="s">
        <v>379</v>
      </c>
    </row>
    <row r="90" spans="2:20" ht="42.75">
      <c r="B90" s="286"/>
      <c r="C90" s="150" t="str">
        <f>'Annex 4'!E101</f>
        <v>GCF</v>
      </c>
      <c r="D90" s="150" t="str">
        <f>'Annex 4'!F101</f>
        <v xml:space="preserve">Constuction cost </v>
      </c>
      <c r="E90" s="150" t="str">
        <f>'Annex 4'!G101</f>
        <v>Market stalls. Allowance for current use. With drawers/ CS finish on platforms of blockwork/ concrete</v>
      </c>
      <c r="F90" s="150" t="str">
        <f>'Annex 4'!H101</f>
        <v>nr</v>
      </c>
      <c r="G90" s="145">
        <f>'Annex 4'!I101</f>
        <v>605</v>
      </c>
      <c r="H90" s="150">
        <f>'Annex 4'!J101</f>
        <v>0</v>
      </c>
      <c r="I90" s="150">
        <f>'Annex 4'!K101</f>
        <v>0</v>
      </c>
      <c r="J90" s="150">
        <f>'Annex 4'!L101</f>
        <v>8</v>
      </c>
      <c r="K90" s="150">
        <f>'Annex 4'!M101</f>
        <v>0</v>
      </c>
      <c r="L90" s="150">
        <f>'Annex 4'!N101</f>
        <v>0</v>
      </c>
      <c r="M90" s="152">
        <f t="shared" si="90"/>
        <v>0</v>
      </c>
      <c r="N90" s="152">
        <f t="shared" si="91"/>
        <v>0</v>
      </c>
      <c r="O90" s="152">
        <f t="shared" si="92"/>
        <v>4840</v>
      </c>
      <c r="P90" s="152">
        <f t="shared" si="93"/>
        <v>0</v>
      </c>
      <c r="Q90" s="152">
        <f t="shared" si="94"/>
        <v>0</v>
      </c>
      <c r="R90" s="166">
        <f t="shared" si="95"/>
        <v>4840</v>
      </c>
      <c r="T90" s="90" t="s">
        <v>379</v>
      </c>
    </row>
    <row r="91" spans="2:20">
      <c r="B91" s="286"/>
      <c r="C91" s="150" t="str">
        <f>'Annex 4'!E102</f>
        <v>GCF</v>
      </c>
      <c r="D91" s="150" t="str">
        <f>'Annex 4'!F102</f>
        <v xml:space="preserve">Constuction cost </v>
      </c>
      <c r="E91" s="150" t="str">
        <f>'Annex 4'!G102</f>
        <v xml:space="preserve">Public benches. Allowance for current use. </v>
      </c>
      <c r="F91" s="150" t="str">
        <f>'Annex 4'!H102</f>
        <v>nr</v>
      </c>
      <c r="G91" s="145">
        <f>'Annex 4'!I102</f>
        <v>54.45000000000001</v>
      </c>
      <c r="H91" s="150">
        <f>'Annex 4'!J102</f>
        <v>0</v>
      </c>
      <c r="I91" s="150">
        <f>'Annex 4'!K102</f>
        <v>0</v>
      </c>
      <c r="J91" s="150">
        <f>'Annex 4'!L102</f>
        <v>10</v>
      </c>
      <c r="K91" s="150">
        <f>'Annex 4'!M102</f>
        <v>0</v>
      </c>
      <c r="L91" s="150">
        <f>'Annex 4'!N102</f>
        <v>0</v>
      </c>
      <c r="M91" s="152">
        <f t="shared" si="90"/>
        <v>0</v>
      </c>
      <c r="N91" s="152">
        <f t="shared" si="91"/>
        <v>0</v>
      </c>
      <c r="O91" s="152">
        <f t="shared" si="92"/>
        <v>544.50000000000011</v>
      </c>
      <c r="P91" s="152">
        <f t="shared" si="93"/>
        <v>0</v>
      </c>
      <c r="Q91" s="152">
        <f t="shared" si="94"/>
        <v>0</v>
      </c>
      <c r="R91" s="166">
        <f t="shared" si="95"/>
        <v>544.50000000000011</v>
      </c>
      <c r="T91" s="90" t="s">
        <v>379</v>
      </c>
    </row>
    <row r="92" spans="2:20" ht="28.5">
      <c r="B92" s="286"/>
      <c r="C92" s="150" t="str">
        <f>'Annex 4'!E103</f>
        <v>GCF</v>
      </c>
      <c r="D92" s="150" t="str">
        <f>'Annex 4'!F103</f>
        <v xml:space="preserve">Constuction cost </v>
      </c>
      <c r="E92" s="150" t="str">
        <f>'Annex 4'!G103</f>
        <v>Childrens' play furniture. To serve existing homes = 224. Recycled and installed</v>
      </c>
      <c r="F92" s="150" t="str">
        <f>'Annex 4'!H103</f>
        <v>nr</v>
      </c>
      <c r="G92" s="145">
        <f>'Annex 4'!I103</f>
        <v>6751.8000000000011</v>
      </c>
      <c r="H92" s="150">
        <f>'Annex 4'!J103</f>
        <v>0</v>
      </c>
      <c r="I92" s="150">
        <f>'Annex 4'!K103</f>
        <v>0</v>
      </c>
      <c r="J92" s="150">
        <f>'Annex 4'!L103</f>
        <v>1</v>
      </c>
      <c r="K92" s="150">
        <f>'Annex 4'!M103</f>
        <v>0</v>
      </c>
      <c r="L92" s="150">
        <f>'Annex 4'!N103</f>
        <v>0</v>
      </c>
      <c r="M92" s="152">
        <f t="shared" si="90"/>
        <v>0</v>
      </c>
      <c r="N92" s="152">
        <f t="shared" si="91"/>
        <v>0</v>
      </c>
      <c r="O92" s="152">
        <f t="shared" si="92"/>
        <v>6751.8000000000011</v>
      </c>
      <c r="P92" s="152">
        <f t="shared" si="93"/>
        <v>0</v>
      </c>
      <c r="Q92" s="152">
        <f t="shared" si="94"/>
        <v>0</v>
      </c>
      <c r="R92" s="166">
        <f t="shared" si="95"/>
        <v>6751.8000000000011</v>
      </c>
      <c r="T92" s="90" t="s">
        <v>379</v>
      </c>
    </row>
    <row r="93" spans="2:20" ht="41.45" customHeight="1">
      <c r="B93" s="286"/>
      <c r="C93" s="150" t="str">
        <f>'Annex 4'!E104</f>
        <v>GCF</v>
      </c>
      <c r="D93" s="150" t="str">
        <f>'Annex 4'!F104</f>
        <v xml:space="preserve">Constuction cost </v>
      </c>
      <c r="E93" s="150" t="str">
        <f>'Annex 4'!G104</f>
        <v>Junior footpall pitch. Based on attached concept. . natural turf on grade. Assumed area already flat</v>
      </c>
      <c r="F93" s="150" t="str">
        <f>'Annex 4'!H104</f>
        <v>m2</v>
      </c>
      <c r="G93" s="145">
        <f>'Annex 4'!I104</f>
        <v>6.9575000000000005</v>
      </c>
      <c r="H93" s="150">
        <f>'Annex 4'!J104</f>
        <v>0</v>
      </c>
      <c r="I93" s="150">
        <f>'Annex 4'!K104</f>
        <v>0</v>
      </c>
      <c r="J93" s="150">
        <f>'Annex 4'!L104</f>
        <v>1200</v>
      </c>
      <c r="K93" s="150">
        <f>'Annex 4'!M104</f>
        <v>0</v>
      </c>
      <c r="L93" s="150">
        <f>'Annex 4'!N104</f>
        <v>0</v>
      </c>
      <c r="M93" s="152">
        <f t="shared" si="90"/>
        <v>0</v>
      </c>
      <c r="N93" s="152">
        <f t="shared" si="91"/>
        <v>0</v>
      </c>
      <c r="O93" s="152">
        <f t="shared" si="92"/>
        <v>8349</v>
      </c>
      <c r="P93" s="152">
        <f t="shared" si="93"/>
        <v>0</v>
      </c>
      <c r="Q93" s="152">
        <f t="shared" si="94"/>
        <v>0</v>
      </c>
      <c r="R93" s="166">
        <f t="shared" si="95"/>
        <v>8349</v>
      </c>
      <c r="T93" s="90" t="s">
        <v>379</v>
      </c>
    </row>
    <row r="94" spans="2:20" ht="43.5" thickBot="1">
      <c r="B94" s="287"/>
      <c r="C94" s="150" t="str">
        <f>'Annex 4'!E105</f>
        <v>GCF</v>
      </c>
      <c r="D94" s="150" t="str">
        <f>'Annex 4'!F105</f>
        <v xml:space="preserve">Constuction cost </v>
      </c>
      <c r="E94" s="150" t="str">
        <f>'Annex 4'!G105</f>
        <v>Public realm, parking &amp; drop-off in volcanic stone setts with non-permable pointing . 50mm thick</v>
      </c>
      <c r="F94" s="150" t="str">
        <f>'Annex 4'!H105</f>
        <v>m2</v>
      </c>
      <c r="G94" s="145">
        <f>'Annex 4'!I105</f>
        <v>58.080000000000013</v>
      </c>
      <c r="H94" s="150">
        <f>'Annex 4'!J105</f>
        <v>0</v>
      </c>
      <c r="I94" s="150">
        <f>'Annex 4'!K105</f>
        <v>0</v>
      </c>
      <c r="J94" s="150">
        <f>'Annex 4'!L105</f>
        <v>800</v>
      </c>
      <c r="K94" s="150">
        <f>'Annex 4'!M105</f>
        <v>0</v>
      </c>
      <c r="L94" s="150">
        <f>'Annex 4'!N105</f>
        <v>0</v>
      </c>
      <c r="M94" s="152">
        <f t="shared" si="90"/>
        <v>0</v>
      </c>
      <c r="N94" s="152">
        <f t="shared" si="91"/>
        <v>0</v>
      </c>
      <c r="O94" s="152">
        <f t="shared" si="92"/>
        <v>46464.000000000007</v>
      </c>
      <c r="P94" s="152">
        <f t="shared" si="93"/>
        <v>0</v>
      </c>
      <c r="Q94" s="152">
        <f t="shared" si="94"/>
        <v>0</v>
      </c>
      <c r="R94" s="166">
        <f t="shared" si="95"/>
        <v>46464.000000000007</v>
      </c>
      <c r="T94" s="90" t="s">
        <v>379</v>
      </c>
    </row>
    <row r="95" spans="2:20" ht="85.5">
      <c r="B95" s="282" t="s">
        <v>380</v>
      </c>
      <c r="C95" s="149" t="str">
        <f>'Annex 4'!E106</f>
        <v>GCF</v>
      </c>
      <c r="D95" s="149" t="str">
        <f>'Annex 4'!F106</f>
        <v>Training, workshops, and conference</v>
      </c>
      <c r="E95" s="149" t="str">
        <f>'Annex 4'!G106</f>
        <v xml:space="preserve">Workshops with community regarding climate change awareness, new infrastructure systems and best practice for climate-adapted home-level upgrades. Attendees are estimated to include 10-20 households for each workshop. </v>
      </c>
      <c r="F95" s="149" t="str">
        <f>'Annex 4'!H106</f>
        <v>workshop</v>
      </c>
      <c r="G95" s="153">
        <f>'Annex 4'!I106</f>
        <v>200</v>
      </c>
      <c r="H95" s="149">
        <f>'Annex 4'!J106</f>
        <v>4</v>
      </c>
      <c r="I95" s="149">
        <f>'Annex 4'!K106</f>
        <v>6</v>
      </c>
      <c r="J95" s="149">
        <f>'Annex 4'!L106</f>
        <v>6</v>
      </c>
      <c r="K95" s="149">
        <f>'Annex 4'!M106</f>
        <v>10</v>
      </c>
      <c r="L95" s="149">
        <f>'Annex 4'!N106</f>
        <v>10</v>
      </c>
      <c r="M95" s="154">
        <f t="shared" ref="M95:M97" si="96">$G95*H95</f>
        <v>800</v>
      </c>
      <c r="N95" s="154">
        <f t="shared" ref="N95:N97" si="97">$G95*I95</f>
        <v>1200</v>
      </c>
      <c r="O95" s="154">
        <f t="shared" ref="O95:O97" si="98">$G95*J95</f>
        <v>1200</v>
      </c>
      <c r="P95" s="154">
        <f t="shared" ref="P95:P97" si="99">$G95*K95</f>
        <v>2000</v>
      </c>
      <c r="Q95" s="154">
        <f t="shared" ref="Q95:Q97" si="100">$G95*L95</f>
        <v>2000</v>
      </c>
      <c r="R95" s="167">
        <f t="shared" ref="R95:R97" si="101">SUM(M95:Q95)</f>
        <v>7200</v>
      </c>
      <c r="T95" s="90" t="s">
        <v>381</v>
      </c>
    </row>
    <row r="96" spans="2:20">
      <c r="B96" s="283"/>
      <c r="C96" s="150" t="str">
        <f>'Annex 4'!E107</f>
        <v>GCF</v>
      </c>
      <c r="D96" s="150" t="str">
        <f>'Annex 4'!F107</f>
        <v>Travel</v>
      </c>
      <c r="E96" s="150" t="str">
        <f>'Annex 4'!G107</f>
        <v>Local transport in Kigali. Rental of car</v>
      </c>
      <c r="F96" s="150" t="str">
        <f>'Annex 4'!H107</f>
        <v>daily car rental</v>
      </c>
      <c r="G96" s="145">
        <f>'Annex 4'!I107</f>
        <v>100</v>
      </c>
      <c r="H96" s="150">
        <f>'Annex 4'!J107</f>
        <v>40</v>
      </c>
      <c r="I96" s="150">
        <f>'Annex 4'!K107</f>
        <v>40</v>
      </c>
      <c r="J96" s="150">
        <f>'Annex 4'!L107</f>
        <v>40</v>
      </c>
      <c r="K96" s="150">
        <f>'Annex 4'!M107</f>
        <v>40</v>
      </c>
      <c r="L96" s="150">
        <f>'Annex 4'!N107</f>
        <v>40</v>
      </c>
      <c r="M96" s="152">
        <f t="shared" ref="M96" si="102">$G96*H96</f>
        <v>4000</v>
      </c>
      <c r="N96" s="152">
        <f t="shared" ref="N96" si="103">$G96*I96</f>
        <v>4000</v>
      </c>
      <c r="O96" s="152">
        <f t="shared" ref="O96" si="104">$G96*J96</f>
        <v>4000</v>
      </c>
      <c r="P96" s="152">
        <f t="shared" ref="P96" si="105">$G96*K96</f>
        <v>4000</v>
      </c>
      <c r="Q96" s="152">
        <f t="shared" ref="Q96" si="106">$G96*L96</f>
        <v>4000</v>
      </c>
      <c r="R96" s="166">
        <f t="shared" ref="R96" si="107">SUM(M96:Q96)</f>
        <v>20000</v>
      </c>
      <c r="T96" s="90" t="s">
        <v>381</v>
      </c>
    </row>
    <row r="97" spans="2:20" ht="57">
      <c r="B97" s="283"/>
      <c r="C97" s="150" t="str">
        <f>'Annex 4'!E108</f>
        <v>GCF</v>
      </c>
      <c r="D97" s="150" t="str">
        <f>'Annex 4'!F108</f>
        <v>Training, workshops, and conference</v>
      </c>
      <c r="E97" s="150" t="str">
        <f>'Annex 4'!G108</f>
        <v>Development and delivery of training and communication materials (includes adaptive upgrades manual/video and gender public communication, detailed in Gender Action Plan)</v>
      </c>
      <c r="F97" s="150" t="str">
        <f>'Annex 4'!H108</f>
        <v>annual cost</v>
      </c>
      <c r="G97" s="145">
        <f>'Annex 4'!I108</f>
        <v>5000</v>
      </c>
      <c r="H97" s="150">
        <f>'Annex 4'!J108</f>
        <v>1</v>
      </c>
      <c r="I97" s="150">
        <f>'Annex 4'!K108</f>
        <v>1</v>
      </c>
      <c r="J97" s="150">
        <f>'Annex 4'!L108</f>
        <v>1</v>
      </c>
      <c r="K97" s="150">
        <f>'Annex 4'!M108</f>
        <v>1</v>
      </c>
      <c r="L97" s="150">
        <f>'Annex 4'!N108</f>
        <v>1</v>
      </c>
      <c r="M97" s="152">
        <f t="shared" si="96"/>
        <v>5000</v>
      </c>
      <c r="N97" s="152">
        <f t="shared" si="97"/>
        <v>5000</v>
      </c>
      <c r="O97" s="152">
        <f t="shared" si="98"/>
        <v>5000</v>
      </c>
      <c r="P97" s="152">
        <f t="shared" si="99"/>
        <v>5000</v>
      </c>
      <c r="Q97" s="152">
        <f t="shared" si="100"/>
        <v>5000</v>
      </c>
      <c r="R97" s="166">
        <f t="shared" si="101"/>
        <v>25000</v>
      </c>
      <c r="T97" s="90" t="s">
        <v>381</v>
      </c>
    </row>
    <row r="98" spans="2:20">
      <c r="B98" s="283"/>
      <c r="C98" s="150" t="str">
        <f>'Annex 4'!E109</f>
        <v>GCF</v>
      </c>
      <c r="D98" s="150" t="str">
        <f>'Annex 4'!F109</f>
        <v>Local consultants</v>
      </c>
      <c r="E98" s="150" t="str">
        <f>'Annex 4'!G109</f>
        <v>Gender specialist</v>
      </c>
      <c r="F98" s="150" t="str">
        <f>'Annex 4'!H109</f>
        <v>person-day</v>
      </c>
      <c r="G98" s="145">
        <f>'Annex 4'!I109</f>
        <v>150</v>
      </c>
      <c r="H98" s="150">
        <f>'Annex 4'!J109</f>
        <v>150</v>
      </c>
      <c r="I98" s="150">
        <f>'Annex 4'!K109</f>
        <v>150</v>
      </c>
      <c r="J98" s="150">
        <f>'Annex 4'!L109</f>
        <v>150</v>
      </c>
      <c r="K98" s="150">
        <f>'Annex 4'!M109</f>
        <v>150</v>
      </c>
      <c r="L98" s="150">
        <f>'Annex 4'!N109</f>
        <v>150</v>
      </c>
      <c r="M98" s="152">
        <f t="shared" ref="M98" si="108">$G98*H98</f>
        <v>22500</v>
      </c>
      <c r="N98" s="152">
        <f t="shared" ref="N98" si="109">$G98*I98</f>
        <v>22500</v>
      </c>
      <c r="O98" s="152">
        <f t="shared" ref="O98" si="110">$G98*J98</f>
        <v>22500</v>
      </c>
      <c r="P98" s="152">
        <f t="shared" ref="P98" si="111">$G98*K98</f>
        <v>22500</v>
      </c>
      <c r="Q98" s="152">
        <f t="shared" ref="Q98" si="112">$G98*L98</f>
        <v>22500</v>
      </c>
      <c r="R98" s="166">
        <f t="shared" ref="R98" si="113">SUM(M98:Q98)</f>
        <v>112500</v>
      </c>
      <c r="T98" s="90" t="s">
        <v>381</v>
      </c>
    </row>
    <row r="99" spans="2:20" ht="28.5">
      <c r="B99" s="283"/>
      <c r="C99" s="150" t="str">
        <f>'Annex 4'!E110</f>
        <v>GCF</v>
      </c>
      <c r="D99" s="150" t="str">
        <f>'Annex 4'!F110</f>
        <v>Local consultants</v>
      </c>
      <c r="E99" s="150" t="str">
        <f>'Annex 4'!G110</f>
        <v>Environmental Safeguards Specialist / M&amp;E Specialist</v>
      </c>
      <c r="F99" s="150" t="str">
        <f>'Annex 4'!H110</f>
        <v>person-day</v>
      </c>
      <c r="G99" s="145">
        <f>'Annex 4'!I110</f>
        <v>150</v>
      </c>
      <c r="H99" s="150">
        <f>'Annex 4'!J110</f>
        <v>100</v>
      </c>
      <c r="I99" s="150">
        <f>'Annex 4'!K110</f>
        <v>250</v>
      </c>
      <c r="J99" s="150">
        <f>'Annex 4'!L110</f>
        <v>250</v>
      </c>
      <c r="K99" s="150">
        <f>'Annex 4'!M110</f>
        <v>250</v>
      </c>
      <c r="L99" s="150">
        <f>'Annex 4'!N110</f>
        <v>100</v>
      </c>
      <c r="M99" s="152">
        <f t="shared" ref="M99" si="114">$G99*H99</f>
        <v>15000</v>
      </c>
      <c r="N99" s="152">
        <f t="shared" ref="N99" si="115">$G99*I99</f>
        <v>37500</v>
      </c>
      <c r="O99" s="152">
        <f t="shared" ref="O99" si="116">$G99*J99</f>
        <v>37500</v>
      </c>
      <c r="P99" s="152">
        <f t="shared" ref="P99" si="117">$G99*K99</f>
        <v>37500</v>
      </c>
      <c r="Q99" s="152">
        <f t="shared" ref="Q99" si="118">$G99*L99</f>
        <v>15000</v>
      </c>
      <c r="R99" s="166">
        <f t="shared" ref="R99" si="119">SUM(M99:Q99)</f>
        <v>142500</v>
      </c>
      <c r="T99" s="90" t="s">
        <v>381</v>
      </c>
    </row>
    <row r="100" spans="2:20">
      <c r="B100" s="283"/>
      <c r="C100" s="150"/>
      <c r="D100" s="150"/>
      <c r="E100" s="150"/>
      <c r="F100" s="150"/>
      <c r="G100" s="145"/>
      <c r="H100" s="150"/>
      <c r="I100" s="150"/>
      <c r="J100" s="150"/>
      <c r="K100" s="150"/>
      <c r="L100" s="150"/>
      <c r="M100" s="152"/>
      <c r="N100" s="152"/>
      <c r="O100" s="152"/>
      <c r="P100" s="152"/>
      <c r="Q100" s="152"/>
      <c r="R100" s="166"/>
      <c r="T100" s="90" t="s">
        <v>381</v>
      </c>
    </row>
    <row r="101" spans="2:20" ht="29.25" thickBot="1">
      <c r="B101" s="284"/>
      <c r="C101" s="150" t="str">
        <f>'Annex 4'!E111</f>
        <v>GCF</v>
      </c>
      <c r="D101" s="150" t="str">
        <f>'Annex 4'!F111</f>
        <v>Local consultants</v>
      </c>
      <c r="E101" s="150" t="str">
        <f>'Annex 4'!G111</f>
        <v>Community engagement specialist (overall project)</v>
      </c>
      <c r="F101" s="150" t="str">
        <f>'Annex 4'!H111</f>
        <v>person-day</v>
      </c>
      <c r="G101" s="145">
        <f>'Annex 4'!I111</f>
        <v>150</v>
      </c>
      <c r="H101" s="150">
        <f>'Annex 4'!J111</f>
        <v>120</v>
      </c>
      <c r="I101" s="150">
        <f>'Annex 4'!K111</f>
        <v>250</v>
      </c>
      <c r="J101" s="150">
        <f>'Annex 4'!L111</f>
        <v>250</v>
      </c>
      <c r="K101" s="150">
        <f>'Annex 4'!M111</f>
        <v>250</v>
      </c>
      <c r="L101" s="150">
        <f>'Annex 4'!N111</f>
        <v>150</v>
      </c>
      <c r="M101" s="152">
        <f t="shared" ref="M101:M104" si="120">$G101*H101</f>
        <v>18000</v>
      </c>
      <c r="N101" s="152">
        <f t="shared" ref="N101:N104" si="121">$G101*I101</f>
        <v>37500</v>
      </c>
      <c r="O101" s="152">
        <f t="shared" ref="O101:O104" si="122">$G101*J101</f>
        <v>37500</v>
      </c>
      <c r="P101" s="152">
        <f t="shared" ref="P101:P104" si="123">$G101*K101</f>
        <v>37500</v>
      </c>
      <c r="Q101" s="152">
        <f t="shared" ref="Q101:Q104" si="124">$G101*L101</f>
        <v>22500</v>
      </c>
      <c r="R101" s="166">
        <f t="shared" ref="R101:R104" si="125">SUM(M101:Q101)</f>
        <v>153000</v>
      </c>
      <c r="T101" s="90" t="s">
        <v>381</v>
      </c>
    </row>
    <row r="102" spans="2:20" ht="28.5">
      <c r="B102" s="282" t="s">
        <v>300</v>
      </c>
      <c r="C102" s="149" t="str">
        <f>'Annex 4'!E112</f>
        <v>GCF</v>
      </c>
      <c r="D102" s="149" t="str">
        <f>'Annex 4'!F112</f>
        <v>Local consultants</v>
      </c>
      <c r="E102" s="149" t="str">
        <f>'Annex 4'!G112</f>
        <v>Development of curriculum for the TVET (national experts)</v>
      </c>
      <c r="F102" s="149" t="str">
        <f>'Annex 4'!H112</f>
        <v>person-day</v>
      </c>
      <c r="G102" s="153">
        <f>'Annex 4'!I112</f>
        <v>150</v>
      </c>
      <c r="H102" s="149">
        <f>'Annex 4'!J112</f>
        <v>50</v>
      </c>
      <c r="I102" s="149">
        <f>'Annex 4'!K112</f>
        <v>200</v>
      </c>
      <c r="J102" s="149">
        <f>'Annex 4'!L112</f>
        <v>200</v>
      </c>
      <c r="K102" s="149">
        <f>'Annex 4'!M112</f>
        <v>0</v>
      </c>
      <c r="L102" s="149">
        <f>'Annex 4'!N112</f>
        <v>0</v>
      </c>
      <c r="M102" s="154">
        <f t="shared" si="120"/>
        <v>7500</v>
      </c>
      <c r="N102" s="154">
        <f t="shared" si="121"/>
        <v>30000</v>
      </c>
      <c r="O102" s="154">
        <f t="shared" si="122"/>
        <v>30000</v>
      </c>
      <c r="P102" s="154">
        <f t="shared" si="123"/>
        <v>0</v>
      </c>
      <c r="Q102" s="154">
        <f t="shared" si="124"/>
        <v>0</v>
      </c>
      <c r="R102" s="167">
        <f t="shared" si="125"/>
        <v>67500</v>
      </c>
      <c r="T102" s="90" t="s">
        <v>382</v>
      </c>
    </row>
    <row r="103" spans="2:20">
      <c r="B103" s="283"/>
      <c r="C103" s="150" t="str">
        <f>'Annex 4'!E113</f>
        <v>GCF</v>
      </c>
      <c r="D103" s="150" t="str">
        <f>'Annex 4'!F113</f>
        <v>Travel</v>
      </c>
      <c r="E103" s="150" t="str">
        <f>'Annex 4'!G113</f>
        <v>Local transport in Kigali. Rental of car / taxi</v>
      </c>
      <c r="F103" s="150" t="str">
        <f>'Annex 4'!H113</f>
        <v>daily car rental</v>
      </c>
      <c r="G103" s="145">
        <f>'Annex 4'!I113</f>
        <v>100</v>
      </c>
      <c r="H103" s="150">
        <f>'Annex 4'!J113</f>
        <v>10</v>
      </c>
      <c r="I103" s="150">
        <f>'Annex 4'!K113</f>
        <v>20</v>
      </c>
      <c r="J103" s="150">
        <f>'Annex 4'!L113</f>
        <v>20</v>
      </c>
      <c r="K103" s="150">
        <f>'Annex 4'!M113</f>
        <v>0</v>
      </c>
      <c r="L103" s="150">
        <f>'Annex 4'!N113</f>
        <v>0</v>
      </c>
      <c r="M103" s="152">
        <f t="shared" ref="M103" si="126">$G103*H103</f>
        <v>1000</v>
      </c>
      <c r="N103" s="152">
        <f t="shared" ref="N103" si="127">$G103*I103</f>
        <v>2000</v>
      </c>
      <c r="O103" s="152">
        <f t="shared" ref="O103" si="128">$G103*J103</f>
        <v>2000</v>
      </c>
      <c r="P103" s="152">
        <f t="shared" ref="P103" si="129">$G103*K103</f>
        <v>0</v>
      </c>
      <c r="Q103" s="152">
        <f t="shared" ref="Q103" si="130">$G103*L103</f>
        <v>0</v>
      </c>
      <c r="R103" s="166">
        <f t="shared" ref="R103" si="131">SUM(M103:Q103)</f>
        <v>5000</v>
      </c>
      <c r="T103" s="90" t="s">
        <v>382</v>
      </c>
    </row>
    <row r="104" spans="2:20" ht="27" customHeight="1">
      <c r="B104" s="283"/>
      <c r="C104" s="150" t="str">
        <f>'Annex 4'!E114</f>
        <v>Country</v>
      </c>
      <c r="D104" s="150" t="str">
        <f>'Annex 4'!F114</f>
        <v xml:space="preserve">Staff Cost </v>
      </c>
      <c r="E104" s="150" t="str">
        <f>'Annex 4'!G114</f>
        <v>Staff costs for Rwanda TVET Board input for curriculum and the operalisation of the new TVET</v>
      </c>
      <c r="F104" s="150" t="str">
        <f>'Annex 4'!H114</f>
        <v>person-day</v>
      </c>
      <c r="G104" s="145">
        <f>'Annex 4'!I114</f>
        <v>150</v>
      </c>
      <c r="H104" s="150">
        <f>'Annex 4'!J114</f>
        <v>50</v>
      </c>
      <c r="I104" s="150">
        <f>'Annex 4'!K114</f>
        <v>100</v>
      </c>
      <c r="J104" s="150">
        <f>'Annex 4'!L114</f>
        <v>100</v>
      </c>
      <c r="K104" s="150">
        <f>'Annex 4'!M114</f>
        <v>100</v>
      </c>
      <c r="L104" s="150">
        <f>'Annex 4'!N114</f>
        <v>100</v>
      </c>
      <c r="M104" s="152">
        <f t="shared" si="120"/>
        <v>7500</v>
      </c>
      <c r="N104" s="152">
        <f t="shared" si="121"/>
        <v>15000</v>
      </c>
      <c r="O104" s="152">
        <f t="shared" si="122"/>
        <v>15000</v>
      </c>
      <c r="P104" s="152">
        <f t="shared" si="123"/>
        <v>15000</v>
      </c>
      <c r="Q104" s="152">
        <f t="shared" si="124"/>
        <v>15000</v>
      </c>
      <c r="R104" s="166">
        <f t="shared" si="125"/>
        <v>67500</v>
      </c>
      <c r="T104" s="90" t="s">
        <v>382</v>
      </c>
    </row>
    <row r="105" spans="2:20" ht="27" customHeight="1">
      <c r="B105" s="283"/>
      <c r="C105" s="150" t="str">
        <f>'Annex 4'!E115</f>
        <v>GCF</v>
      </c>
      <c r="D105" s="150" t="str">
        <f>'Annex 4'!F115</f>
        <v>International consultant</v>
      </c>
      <c r="E105" s="150" t="str">
        <f>'Annex 4'!G115</f>
        <v>Development of curriculum for the TVET (international experts)</v>
      </c>
      <c r="F105" s="150" t="str">
        <f>'Annex 4'!H115</f>
        <v>person-day</v>
      </c>
      <c r="G105" s="145">
        <f>'Annex 4'!I115</f>
        <v>950</v>
      </c>
      <c r="H105" s="150">
        <f>'Annex 4'!J115</f>
        <v>50</v>
      </c>
      <c r="I105" s="150">
        <f>'Annex 4'!K115</f>
        <v>50</v>
      </c>
      <c r="J105" s="150">
        <f>'Annex 4'!L115</f>
        <v>50</v>
      </c>
      <c r="K105" s="150">
        <f>'Annex 4'!M115</f>
        <v>0</v>
      </c>
      <c r="L105" s="150">
        <f>'Annex 4'!N115</f>
        <v>0</v>
      </c>
      <c r="M105" s="152">
        <f t="shared" ref="M105:M111" si="132">$G105*H105</f>
        <v>47500</v>
      </c>
      <c r="N105" s="152">
        <f t="shared" ref="N105:N111" si="133">$G105*I105</f>
        <v>47500</v>
      </c>
      <c r="O105" s="152">
        <f t="shared" ref="O105:O111" si="134">$G105*J105</f>
        <v>47500</v>
      </c>
      <c r="P105" s="152">
        <f t="shared" ref="P105:P111" si="135">$G105*K105</f>
        <v>0</v>
      </c>
      <c r="Q105" s="152">
        <f t="shared" ref="Q105:Q111" si="136">$G105*L105</f>
        <v>0</v>
      </c>
      <c r="R105" s="166">
        <f t="shared" ref="R105:R111" si="137">SUM(M105:Q105)</f>
        <v>142500</v>
      </c>
      <c r="T105" s="90" t="s">
        <v>382</v>
      </c>
    </row>
    <row r="106" spans="2:20" ht="27" customHeight="1">
      <c r="B106" s="283"/>
      <c r="C106" s="150" t="str">
        <f>'Annex 4'!E116</f>
        <v>GCF</v>
      </c>
      <c r="D106" s="150" t="str">
        <f>'Annex 4'!F116</f>
        <v>International consultant</v>
      </c>
      <c r="E106" s="150" t="str">
        <f>'Annex 4'!G116</f>
        <v>Construction sector experts (international expert)</v>
      </c>
      <c r="F106" s="150" t="str">
        <f>'Annex 4'!H116</f>
        <v>person-day</v>
      </c>
      <c r="G106" s="145">
        <f>'Annex 4'!I116</f>
        <v>950</v>
      </c>
      <c r="H106" s="150">
        <f>'Annex 4'!J116</f>
        <v>0</v>
      </c>
      <c r="I106" s="150">
        <f>'Annex 4'!K116</f>
        <v>0</v>
      </c>
      <c r="J106" s="150">
        <f>'Annex 4'!L116</f>
        <v>0</v>
      </c>
      <c r="K106" s="150">
        <f>'Annex 4'!M116</f>
        <v>20</v>
      </c>
      <c r="L106" s="150">
        <f>'Annex 4'!N116</f>
        <v>20</v>
      </c>
      <c r="M106" s="152">
        <f t="shared" si="132"/>
        <v>0</v>
      </c>
      <c r="N106" s="152">
        <f t="shared" si="133"/>
        <v>0</v>
      </c>
      <c r="O106" s="152">
        <f t="shared" si="134"/>
        <v>0</v>
      </c>
      <c r="P106" s="152">
        <f t="shared" si="135"/>
        <v>19000</v>
      </c>
      <c r="Q106" s="152">
        <f t="shared" si="136"/>
        <v>19000</v>
      </c>
      <c r="R106" s="166">
        <f t="shared" si="137"/>
        <v>38000</v>
      </c>
      <c r="T106" s="90" t="s">
        <v>382</v>
      </c>
    </row>
    <row r="107" spans="2:20" ht="27" customHeight="1">
      <c r="B107" s="283"/>
      <c r="C107" s="150" t="str">
        <f>'Annex 4'!E117</f>
        <v>GCF</v>
      </c>
      <c r="D107" s="150" t="str">
        <f>'Annex 4'!F117</f>
        <v>Local consultants</v>
      </c>
      <c r="E107" s="150" t="str">
        <f>'Annex 4'!G117</f>
        <v>Construction sector experts (national expert)</v>
      </c>
      <c r="F107" s="150" t="str">
        <f>'Annex 4'!H117</f>
        <v>person-day</v>
      </c>
      <c r="G107" s="145">
        <f>'Annex 4'!I117</f>
        <v>150</v>
      </c>
      <c r="H107" s="150">
        <f>'Annex 4'!J117</f>
        <v>0</v>
      </c>
      <c r="I107" s="150">
        <f>'Annex 4'!K117</f>
        <v>0</v>
      </c>
      <c r="J107" s="150">
        <f>'Annex 4'!L117</f>
        <v>0</v>
      </c>
      <c r="K107" s="150">
        <f>'Annex 4'!M117</f>
        <v>400</v>
      </c>
      <c r="L107" s="150">
        <f>'Annex 4'!N117</f>
        <v>400</v>
      </c>
      <c r="M107" s="152">
        <f t="shared" si="132"/>
        <v>0</v>
      </c>
      <c r="N107" s="152">
        <f t="shared" si="133"/>
        <v>0</v>
      </c>
      <c r="O107" s="152">
        <f t="shared" si="134"/>
        <v>0</v>
      </c>
      <c r="P107" s="152">
        <f t="shared" si="135"/>
        <v>60000</v>
      </c>
      <c r="Q107" s="152">
        <f t="shared" si="136"/>
        <v>60000</v>
      </c>
      <c r="R107" s="166">
        <f t="shared" si="137"/>
        <v>120000</v>
      </c>
      <c r="T107" s="90" t="s">
        <v>382</v>
      </c>
    </row>
    <row r="108" spans="2:20" ht="27" customHeight="1">
      <c r="B108" s="283"/>
      <c r="C108" s="150" t="str">
        <f>'Annex 4'!E118</f>
        <v>GCF</v>
      </c>
      <c r="D108" s="150" t="str">
        <f>'Annex 4'!F118</f>
        <v>Travel</v>
      </c>
      <c r="E108" s="150" t="str">
        <f>'Annex 4'!G118</f>
        <v>Local transport in Kigali. Rental of car / taxi</v>
      </c>
      <c r="F108" s="150" t="str">
        <f>'Annex 4'!H118</f>
        <v>daily car rental</v>
      </c>
      <c r="G108" s="145">
        <f>'Annex 4'!I118</f>
        <v>100</v>
      </c>
      <c r="H108" s="150">
        <f>'Annex 4'!J118</f>
        <v>0</v>
      </c>
      <c r="I108" s="150">
        <f>'Annex 4'!K118</f>
        <v>0</v>
      </c>
      <c r="J108" s="150">
        <f>'Annex 4'!L118</f>
        <v>0</v>
      </c>
      <c r="K108" s="150">
        <f>'Annex 4'!M118</f>
        <v>10</v>
      </c>
      <c r="L108" s="150">
        <f>'Annex 4'!N118</f>
        <v>10</v>
      </c>
      <c r="M108" s="152">
        <f t="shared" si="132"/>
        <v>0</v>
      </c>
      <c r="N108" s="152">
        <f t="shared" si="133"/>
        <v>0</v>
      </c>
      <c r="O108" s="152">
        <f t="shared" si="134"/>
        <v>0</v>
      </c>
      <c r="P108" s="152">
        <f t="shared" si="135"/>
        <v>1000</v>
      </c>
      <c r="Q108" s="152">
        <f t="shared" si="136"/>
        <v>1000</v>
      </c>
      <c r="R108" s="166">
        <f t="shared" si="137"/>
        <v>2000</v>
      </c>
      <c r="T108" s="90" t="s">
        <v>382</v>
      </c>
    </row>
    <row r="109" spans="2:20" ht="27" customHeight="1">
      <c r="B109" s="283"/>
      <c r="C109" s="150" t="str">
        <f>'Annex 4'!E119</f>
        <v>GCF</v>
      </c>
      <c r="D109" s="150" t="str">
        <f>'Annex 4'!F119</f>
        <v>Travel</v>
      </c>
      <c r="E109" s="150" t="str">
        <f>'Annex 4'!G119</f>
        <v>International flight to Kigali</v>
      </c>
      <c r="F109" s="150" t="str">
        <f>'Annex 4'!H119</f>
        <v>roundtrip flight</v>
      </c>
      <c r="G109" s="145">
        <f>'Annex 4'!I119</f>
        <v>1700</v>
      </c>
      <c r="H109" s="150">
        <f>'Annex 4'!J119</f>
        <v>0</v>
      </c>
      <c r="I109" s="150">
        <f>'Annex 4'!K119</f>
        <v>0</v>
      </c>
      <c r="J109" s="150">
        <f>'Annex 4'!L119</f>
        <v>0</v>
      </c>
      <c r="K109" s="150">
        <f>'Annex 4'!M119</f>
        <v>1</v>
      </c>
      <c r="L109" s="150">
        <f>'Annex 4'!N119</f>
        <v>1</v>
      </c>
      <c r="M109" s="152">
        <f t="shared" si="132"/>
        <v>0</v>
      </c>
      <c r="N109" s="152">
        <f t="shared" si="133"/>
        <v>0</v>
      </c>
      <c r="O109" s="152">
        <f t="shared" si="134"/>
        <v>0</v>
      </c>
      <c r="P109" s="152">
        <f t="shared" si="135"/>
        <v>1700</v>
      </c>
      <c r="Q109" s="152">
        <f t="shared" si="136"/>
        <v>1700</v>
      </c>
      <c r="R109" s="166">
        <f t="shared" si="137"/>
        <v>3400</v>
      </c>
      <c r="T109" s="90" t="s">
        <v>382</v>
      </c>
    </row>
    <row r="110" spans="2:20" ht="27" customHeight="1">
      <c r="B110" s="283"/>
      <c r="C110" s="150" t="str">
        <f>'Annex 4'!E120</f>
        <v>GCF</v>
      </c>
      <c r="D110" s="150" t="str">
        <f>'Annex 4'!F120</f>
        <v>Travel</v>
      </c>
      <c r="E110" s="150" t="str">
        <f>'Annex 4'!G120</f>
        <v>Per diem in Kigali (including lodging)</v>
      </c>
      <c r="F110" s="150" t="str">
        <f>'Annex 4'!H120</f>
        <v>days</v>
      </c>
      <c r="G110" s="145">
        <f>'Annex 4'!I120</f>
        <v>200</v>
      </c>
      <c r="H110" s="150">
        <f>'Annex 4'!J120</f>
        <v>0</v>
      </c>
      <c r="I110" s="150">
        <f>'Annex 4'!K120</f>
        <v>0</v>
      </c>
      <c r="J110" s="150">
        <f>'Annex 4'!L120</f>
        <v>0</v>
      </c>
      <c r="K110" s="150">
        <f>'Annex 4'!M120</f>
        <v>7</v>
      </c>
      <c r="L110" s="150">
        <f>'Annex 4'!N120</f>
        <v>7</v>
      </c>
      <c r="M110" s="152">
        <f t="shared" si="132"/>
        <v>0</v>
      </c>
      <c r="N110" s="152">
        <f t="shared" si="133"/>
        <v>0</v>
      </c>
      <c r="O110" s="152">
        <f t="shared" si="134"/>
        <v>0</v>
      </c>
      <c r="P110" s="152">
        <f t="shared" si="135"/>
        <v>1400</v>
      </c>
      <c r="Q110" s="152">
        <f t="shared" si="136"/>
        <v>1400</v>
      </c>
      <c r="R110" s="166">
        <f t="shared" si="137"/>
        <v>2800</v>
      </c>
      <c r="T110" s="90" t="s">
        <v>382</v>
      </c>
    </row>
    <row r="111" spans="2:20" ht="29.25" thickBot="1">
      <c r="B111" s="284"/>
      <c r="C111" s="150" t="str">
        <f>'Annex 4'!E121</f>
        <v>GCF</v>
      </c>
      <c r="D111" s="150" t="str">
        <f>'Annex 4'!F121</f>
        <v>Training, workshops, and conference</v>
      </c>
      <c r="E111" s="150" t="str">
        <f>'Annex 4'!G121</f>
        <v xml:space="preserve">Materials for  capacity building for construction sector workers and professionals </v>
      </c>
      <c r="F111" s="150" t="str">
        <f>'Annex 4'!H121</f>
        <v>training materials</v>
      </c>
      <c r="G111" s="145">
        <f>'Annex 4'!I121</f>
        <v>5000</v>
      </c>
      <c r="H111" s="150">
        <f>'Annex 4'!J121</f>
        <v>0</v>
      </c>
      <c r="I111" s="150">
        <f>'Annex 4'!K121</f>
        <v>0</v>
      </c>
      <c r="J111" s="150">
        <f>'Annex 4'!L121</f>
        <v>0</v>
      </c>
      <c r="K111" s="150">
        <f>'Annex 4'!M121</f>
        <v>1</v>
      </c>
      <c r="L111" s="150">
        <f>'Annex 4'!N121</f>
        <v>1</v>
      </c>
      <c r="M111" s="152">
        <f t="shared" si="132"/>
        <v>0</v>
      </c>
      <c r="N111" s="152">
        <f t="shared" si="133"/>
        <v>0</v>
      </c>
      <c r="O111" s="152">
        <f t="shared" si="134"/>
        <v>0</v>
      </c>
      <c r="P111" s="152">
        <f t="shared" si="135"/>
        <v>5000</v>
      </c>
      <c r="Q111" s="152">
        <f t="shared" si="136"/>
        <v>5000</v>
      </c>
      <c r="R111" s="166">
        <f t="shared" si="137"/>
        <v>10000</v>
      </c>
      <c r="T111" s="90" t="s">
        <v>382</v>
      </c>
    </row>
    <row r="112" spans="2:20" ht="57">
      <c r="B112" s="282" t="s">
        <v>309</v>
      </c>
      <c r="C112" s="149" t="str">
        <f>'Annex 4'!E122</f>
        <v>GCF</v>
      </c>
      <c r="D112" s="149" t="str">
        <f>'Annex 4'!F122</f>
        <v>Training, workshops, and conference</v>
      </c>
      <c r="E112" s="149" t="str">
        <f>'Annex 4'!G122</f>
        <v>Awareness raising campaigns and engagement regarding climate responsive regeneration. (costs include material preparation, travel, venues, etc)</v>
      </c>
      <c r="F112" s="149" t="str">
        <f>'Annex 4'!H122</f>
        <v>annual lump sum</v>
      </c>
      <c r="G112" s="153">
        <f>'Annex 4'!I122</f>
        <v>5000</v>
      </c>
      <c r="H112" s="149">
        <f>'Annex 4'!J122</f>
        <v>0</v>
      </c>
      <c r="I112" s="149">
        <f>'Annex 4'!K122</f>
        <v>1</v>
      </c>
      <c r="J112" s="149">
        <f>'Annex 4'!L122</f>
        <v>1</v>
      </c>
      <c r="K112" s="149">
        <f>'Annex 4'!M122</f>
        <v>1</v>
      </c>
      <c r="L112" s="149">
        <f>'Annex 4'!N122</f>
        <v>1</v>
      </c>
      <c r="M112" s="154">
        <f t="shared" ref="M112:M113" si="138">$G112*H112</f>
        <v>0</v>
      </c>
      <c r="N112" s="154">
        <f t="shared" ref="N112:N113" si="139">$G112*I112</f>
        <v>5000</v>
      </c>
      <c r="O112" s="154">
        <f t="shared" ref="O112:O113" si="140">$G112*J112</f>
        <v>5000</v>
      </c>
      <c r="P112" s="154">
        <f t="shared" ref="P112:P113" si="141">$G112*K112</f>
        <v>5000</v>
      </c>
      <c r="Q112" s="154">
        <f t="shared" ref="Q112:Q113" si="142">$G112*L112</f>
        <v>5000</v>
      </c>
      <c r="R112" s="167">
        <f t="shared" ref="R112:R113" si="143">SUM(M112:Q112)</f>
        <v>20000</v>
      </c>
      <c r="T112" s="90" t="s">
        <v>383</v>
      </c>
    </row>
    <row r="113" spans="2:20" ht="15" thickBot="1">
      <c r="B113" s="284"/>
      <c r="C113" s="150" t="str">
        <f>'Annex 4'!E123</f>
        <v>GCF</v>
      </c>
      <c r="D113" s="150" t="str">
        <f>'Annex 4'!F123</f>
        <v>Local consultants</v>
      </c>
      <c r="E113" s="150" t="str">
        <f>'Annex 4'!G123</f>
        <v>Awareness raising activities in Kigali</v>
      </c>
      <c r="F113" s="150" t="str">
        <f>'Annex 4'!H123</f>
        <v>person-day</v>
      </c>
      <c r="G113" s="155">
        <f>'Annex 4'!I123</f>
        <v>150</v>
      </c>
      <c r="H113" s="150">
        <f>'Annex 4'!J123</f>
        <v>50</v>
      </c>
      <c r="I113" s="150">
        <f>'Annex 4'!K123</f>
        <v>150</v>
      </c>
      <c r="J113" s="150">
        <f>'Annex 4'!L123</f>
        <v>150</v>
      </c>
      <c r="K113" s="150">
        <f>'Annex 4'!M123</f>
        <v>150</v>
      </c>
      <c r="L113" s="150">
        <f>'Annex 4'!N123</f>
        <v>150</v>
      </c>
      <c r="M113" s="156">
        <f t="shared" si="138"/>
        <v>7500</v>
      </c>
      <c r="N113" s="156">
        <f t="shared" si="139"/>
        <v>22500</v>
      </c>
      <c r="O113" s="156">
        <f t="shared" si="140"/>
        <v>22500</v>
      </c>
      <c r="P113" s="156">
        <f t="shared" si="141"/>
        <v>22500</v>
      </c>
      <c r="Q113" s="156">
        <f t="shared" si="142"/>
        <v>22500</v>
      </c>
      <c r="R113" s="168">
        <f t="shared" si="143"/>
        <v>97500</v>
      </c>
      <c r="T113" s="90" t="s">
        <v>383</v>
      </c>
    </row>
    <row r="114" spans="2:20" ht="15.75" thickBot="1">
      <c r="B114" s="14" t="s">
        <v>313</v>
      </c>
      <c r="G114" s="36"/>
      <c r="M114" s="36"/>
      <c r="N114" s="36"/>
      <c r="O114" s="36"/>
      <c r="P114" s="36"/>
      <c r="Q114" s="36"/>
      <c r="R114" s="169"/>
      <c r="T114" s="90"/>
    </row>
    <row r="115" spans="2:20">
      <c r="B115" s="285" t="s">
        <v>315</v>
      </c>
      <c r="C115" s="149" t="str">
        <f>'Annex 4'!E125</f>
        <v>GCF</v>
      </c>
      <c r="D115" s="149" t="str">
        <f>'Annex 4'!F125</f>
        <v>International consultant</v>
      </c>
      <c r="E115" s="149" t="str">
        <f>'Annex 4'!G125</f>
        <v>International expert</v>
      </c>
      <c r="F115" s="149" t="str">
        <f>'Annex 4'!H125</f>
        <v>person-day</v>
      </c>
      <c r="G115" s="153">
        <f>'Annex 4'!I125</f>
        <v>950</v>
      </c>
      <c r="H115" s="149">
        <f>'Annex 4'!J125</f>
        <v>0</v>
      </c>
      <c r="I115" s="149">
        <f>'Annex 4'!K125</f>
        <v>0</v>
      </c>
      <c r="J115" s="149">
        <f>'Annex 4'!L125</f>
        <v>30</v>
      </c>
      <c r="K115" s="149">
        <f>'Annex 4'!M125</f>
        <v>30</v>
      </c>
      <c r="L115" s="149">
        <f>'Annex 4'!N125</f>
        <v>30</v>
      </c>
      <c r="M115" s="154">
        <f t="shared" ref="M115:M117" si="144">$G115*H115</f>
        <v>0</v>
      </c>
      <c r="N115" s="154">
        <f t="shared" ref="N115:N117" si="145">$G115*I115</f>
        <v>0</v>
      </c>
      <c r="O115" s="154">
        <f t="shared" ref="O115:O117" si="146">$G115*J115</f>
        <v>28500</v>
      </c>
      <c r="P115" s="154">
        <f t="shared" ref="P115:P117" si="147">$G115*K115</f>
        <v>28500</v>
      </c>
      <c r="Q115" s="154">
        <f t="shared" ref="Q115:Q117" si="148">$G115*L115</f>
        <v>28500</v>
      </c>
      <c r="R115" s="167">
        <f t="shared" ref="R115:R117" si="149">SUM(M115:Q115)</f>
        <v>85500</v>
      </c>
      <c r="T115" s="90" t="s">
        <v>384</v>
      </c>
    </row>
    <row r="116" spans="2:20" ht="42.75">
      <c r="B116" s="285"/>
      <c r="C116" s="150" t="str">
        <f>'Annex 4'!E126</f>
        <v>GCF</v>
      </c>
      <c r="D116" s="150" t="str">
        <f>'Annex 4'!F126</f>
        <v>Training, workshops, and conference</v>
      </c>
      <c r="E116" s="150" t="str">
        <f>'Annex 4'!G126</f>
        <v>Workshops on climate resilient programming. Approximately 20 attendees each workshop (some attendees attend multiple workshops).</v>
      </c>
      <c r="F116" s="150" t="str">
        <f>'Annex 4'!H126</f>
        <v>workshop</v>
      </c>
      <c r="G116" s="155">
        <f>'Annex 4'!I126</f>
        <v>400</v>
      </c>
      <c r="H116" s="150">
        <f>'Annex 4'!J126</f>
        <v>0</v>
      </c>
      <c r="I116" s="150">
        <f>'Annex 4'!K126</f>
        <v>0</v>
      </c>
      <c r="J116" s="150">
        <f>'Annex 4'!L126</f>
        <v>3</v>
      </c>
      <c r="K116" s="150">
        <f>'Annex 4'!M126</f>
        <v>3</v>
      </c>
      <c r="L116" s="150">
        <f>'Annex 4'!N126</f>
        <v>2</v>
      </c>
      <c r="M116" s="156">
        <f t="shared" ref="M116" si="150">$G116*H116</f>
        <v>0</v>
      </c>
      <c r="N116" s="156">
        <f t="shared" ref="N116" si="151">$G116*I116</f>
        <v>0</v>
      </c>
      <c r="O116" s="156">
        <f t="shared" ref="O116" si="152">$G116*J116</f>
        <v>1200</v>
      </c>
      <c r="P116" s="156">
        <f t="shared" ref="P116" si="153">$G116*K116</f>
        <v>1200</v>
      </c>
      <c r="Q116" s="156">
        <f t="shared" ref="Q116" si="154">$G116*L116</f>
        <v>800</v>
      </c>
      <c r="R116" s="168">
        <f t="shared" ref="R116" si="155">SUM(M116:Q116)</f>
        <v>3200</v>
      </c>
      <c r="T116" s="90" t="s">
        <v>384</v>
      </c>
    </row>
    <row r="117" spans="2:20" ht="15" thickBot="1">
      <c r="B117" s="281"/>
      <c r="C117" s="150" t="str">
        <f>'Annex 4'!E127</f>
        <v>GCF</v>
      </c>
      <c r="D117" s="150" t="str">
        <f>'Annex 4'!F127</f>
        <v>Local consultants</v>
      </c>
      <c r="E117" s="150" t="str">
        <f>'Annex 4'!G127</f>
        <v>National expert</v>
      </c>
      <c r="F117" s="150" t="str">
        <f>'Annex 4'!H127</f>
        <v>person-day</v>
      </c>
      <c r="G117" s="155">
        <f>'Annex 4'!I127</f>
        <v>150</v>
      </c>
      <c r="H117" s="150">
        <f>'Annex 4'!J127</f>
        <v>0</v>
      </c>
      <c r="I117" s="150">
        <f>'Annex 4'!K127</f>
        <v>0</v>
      </c>
      <c r="J117" s="150">
        <f>'Annex 4'!L127</f>
        <v>50</v>
      </c>
      <c r="K117" s="150">
        <f>'Annex 4'!M127</f>
        <v>50</v>
      </c>
      <c r="L117" s="150">
        <f>'Annex 4'!N127</f>
        <v>30</v>
      </c>
      <c r="M117" s="156">
        <f t="shared" si="144"/>
        <v>0</v>
      </c>
      <c r="N117" s="156">
        <f t="shared" si="145"/>
        <v>0</v>
      </c>
      <c r="O117" s="156">
        <f t="shared" si="146"/>
        <v>7500</v>
      </c>
      <c r="P117" s="156">
        <f t="shared" si="147"/>
        <v>7500</v>
      </c>
      <c r="Q117" s="156">
        <f t="shared" si="148"/>
        <v>4500</v>
      </c>
      <c r="R117" s="168">
        <f t="shared" si="149"/>
        <v>19500</v>
      </c>
      <c r="T117" s="90" t="s">
        <v>384</v>
      </c>
    </row>
    <row r="118" spans="2:20">
      <c r="B118" s="282" t="s">
        <v>319</v>
      </c>
      <c r="C118" s="149" t="str">
        <f>'Annex 4'!E128</f>
        <v>GCF</v>
      </c>
      <c r="D118" s="149" t="str">
        <f>'Annex 4'!F128</f>
        <v>International consultant</v>
      </c>
      <c r="E118" s="149" t="str">
        <f>'Annex 4'!G128</f>
        <v>International expert</v>
      </c>
      <c r="F118" s="149" t="str">
        <f>'Annex 4'!H128</f>
        <v>person-day</v>
      </c>
      <c r="G118" s="153">
        <f>'Annex 4'!I128</f>
        <v>950</v>
      </c>
      <c r="H118" s="149">
        <f>'Annex 4'!J128</f>
        <v>0</v>
      </c>
      <c r="I118" s="149">
        <f>'Annex 4'!K128</f>
        <v>0</v>
      </c>
      <c r="J118" s="149">
        <f>'Annex 4'!L128</f>
        <v>60</v>
      </c>
      <c r="K118" s="149">
        <f>'Annex 4'!M128</f>
        <v>100</v>
      </c>
      <c r="L118" s="149">
        <f>'Annex 4'!N128</f>
        <v>0</v>
      </c>
      <c r="M118" s="154">
        <f t="shared" ref="M118:M119" si="156">$G118*H118</f>
        <v>0</v>
      </c>
      <c r="N118" s="154">
        <f t="shared" ref="N118:N119" si="157">$G118*I118</f>
        <v>0</v>
      </c>
      <c r="O118" s="154">
        <f t="shared" ref="O118:O119" si="158">$G118*J118</f>
        <v>57000</v>
      </c>
      <c r="P118" s="154">
        <f t="shared" ref="P118:P119" si="159">$G118*K118</f>
        <v>95000</v>
      </c>
      <c r="Q118" s="154">
        <f t="shared" ref="Q118:Q119" si="160">$G118*L118</f>
        <v>0</v>
      </c>
      <c r="R118" s="167">
        <f t="shared" ref="R118:R119" si="161">SUM(M118:Q118)</f>
        <v>152000</v>
      </c>
      <c r="T118" s="90" t="s">
        <v>385</v>
      </c>
    </row>
    <row r="119" spans="2:20">
      <c r="B119" s="283"/>
      <c r="C119" s="150" t="str">
        <f>'Annex 4'!E129</f>
        <v>GCF</v>
      </c>
      <c r="D119" s="150" t="str">
        <f>'Annex 4'!F129</f>
        <v>Local consultants</v>
      </c>
      <c r="E119" s="150" t="str">
        <f>'Annex 4'!G129</f>
        <v>National expert</v>
      </c>
      <c r="F119" s="150" t="str">
        <f>'Annex 4'!H129</f>
        <v>person-day</v>
      </c>
      <c r="G119" s="155">
        <f>'Annex 4'!I129</f>
        <v>150</v>
      </c>
      <c r="H119" s="150">
        <f>'Annex 4'!J129</f>
        <v>0</v>
      </c>
      <c r="I119" s="150">
        <f>'Annex 4'!K129</f>
        <v>0</v>
      </c>
      <c r="J119" s="150">
        <f>'Annex 4'!L129</f>
        <v>100</v>
      </c>
      <c r="K119" s="150">
        <f>'Annex 4'!M129</f>
        <v>100</v>
      </c>
      <c r="L119" s="150">
        <f>'Annex 4'!N129</f>
        <v>0</v>
      </c>
      <c r="M119" s="156">
        <f t="shared" si="156"/>
        <v>0</v>
      </c>
      <c r="N119" s="156">
        <f t="shared" si="157"/>
        <v>0</v>
      </c>
      <c r="O119" s="156">
        <f t="shared" si="158"/>
        <v>15000</v>
      </c>
      <c r="P119" s="156">
        <f t="shared" si="159"/>
        <v>15000</v>
      </c>
      <c r="Q119" s="156">
        <f t="shared" si="160"/>
        <v>0</v>
      </c>
      <c r="R119" s="168">
        <f t="shared" si="161"/>
        <v>30000</v>
      </c>
      <c r="T119" s="90" t="s">
        <v>385</v>
      </c>
    </row>
    <row r="120" spans="2:20">
      <c r="B120" s="283"/>
      <c r="C120" s="150" t="str">
        <f>'Annex 4'!E130</f>
        <v>GCF</v>
      </c>
      <c r="D120" s="150" t="str">
        <f>'Annex 4'!F130</f>
        <v>Travel</v>
      </c>
      <c r="E120" s="150" t="str">
        <f>'Annex 4'!G130</f>
        <v>Local transport in Kigali. Rental of car / taxi</v>
      </c>
      <c r="F120" s="150" t="str">
        <f>'Annex 4'!H130</f>
        <v>daily car rental</v>
      </c>
      <c r="G120" s="155">
        <f>'Annex 4'!I130</f>
        <v>100</v>
      </c>
      <c r="H120" s="150">
        <f>'Annex 4'!J130</f>
        <v>0</v>
      </c>
      <c r="I120" s="150">
        <f>'Annex 4'!K130</f>
        <v>0</v>
      </c>
      <c r="J120" s="150">
        <f>'Annex 4'!L130</f>
        <v>15</v>
      </c>
      <c r="K120" s="150">
        <f>'Annex 4'!M130</f>
        <v>15</v>
      </c>
      <c r="L120" s="150">
        <f>'Annex 4'!N130</f>
        <v>0</v>
      </c>
      <c r="M120" s="156">
        <f t="shared" ref="M120" si="162">$G120*H120</f>
        <v>0</v>
      </c>
      <c r="N120" s="156">
        <f t="shared" ref="N120" si="163">$G120*I120</f>
        <v>0</v>
      </c>
      <c r="O120" s="156">
        <f t="shared" ref="O120" si="164">$G120*J120</f>
        <v>1500</v>
      </c>
      <c r="P120" s="156">
        <f t="shared" ref="P120" si="165">$G120*K120</f>
        <v>1500</v>
      </c>
      <c r="Q120" s="156">
        <f t="shared" ref="Q120" si="166">$G120*L120</f>
        <v>0</v>
      </c>
      <c r="R120" s="168">
        <f t="shared" ref="R120" si="167">SUM(M120:Q120)</f>
        <v>3000</v>
      </c>
      <c r="T120" s="90" t="s">
        <v>385</v>
      </c>
    </row>
    <row r="121" spans="2:20">
      <c r="B121" s="283"/>
      <c r="C121" s="150" t="str">
        <f>'Annex 4'!E131</f>
        <v>GCF</v>
      </c>
      <c r="D121" s="150" t="str">
        <f>'Annex 4'!F131</f>
        <v>Travel</v>
      </c>
      <c r="E121" s="150" t="str">
        <f>'Annex 4'!G131</f>
        <v>International flight to Kigali</v>
      </c>
      <c r="F121" s="150" t="str">
        <f>'Annex 4'!H131</f>
        <v>roundtrip flight</v>
      </c>
      <c r="G121" s="155">
        <f>'Annex 4'!I131</f>
        <v>1700</v>
      </c>
      <c r="H121" s="150">
        <f>'Annex 4'!J131</f>
        <v>0</v>
      </c>
      <c r="I121" s="150">
        <f>'Annex 4'!K131</f>
        <v>0</v>
      </c>
      <c r="J121" s="150">
        <f>'Annex 4'!L131</f>
        <v>4</v>
      </c>
      <c r="K121" s="150">
        <f>'Annex 4'!M131</f>
        <v>5</v>
      </c>
      <c r="L121" s="150">
        <f>'Annex 4'!N131</f>
        <v>0</v>
      </c>
      <c r="M121" s="156">
        <f t="shared" ref="M121:M125" si="168">$G121*H121</f>
        <v>0</v>
      </c>
      <c r="N121" s="156">
        <f t="shared" ref="N121:N125" si="169">$G121*I121</f>
        <v>0</v>
      </c>
      <c r="O121" s="156">
        <f t="shared" ref="O121:O125" si="170">$G121*J121</f>
        <v>6800</v>
      </c>
      <c r="P121" s="156">
        <f t="shared" ref="P121:P125" si="171">$G121*K121</f>
        <v>8500</v>
      </c>
      <c r="Q121" s="156">
        <f t="shared" ref="Q121:Q125" si="172">$G121*L121</f>
        <v>0</v>
      </c>
      <c r="R121" s="168">
        <f t="shared" ref="R121:R125" si="173">SUM(M121:Q121)</f>
        <v>15300</v>
      </c>
      <c r="T121" s="90" t="s">
        <v>385</v>
      </c>
    </row>
    <row r="122" spans="2:20">
      <c r="B122" s="283"/>
      <c r="C122" s="150" t="str">
        <f>'Annex 4'!E132</f>
        <v>GCF</v>
      </c>
      <c r="D122" s="150" t="str">
        <f>'Annex 4'!F132</f>
        <v>Travel</v>
      </c>
      <c r="E122" s="150" t="str">
        <f>'Annex 4'!G132</f>
        <v>Per diem in Kigali (including lodging)</v>
      </c>
      <c r="F122" s="150" t="str">
        <f>'Annex 4'!H132</f>
        <v>days</v>
      </c>
      <c r="G122" s="155">
        <f>'Annex 4'!I132</f>
        <v>200</v>
      </c>
      <c r="H122" s="150">
        <f>'Annex 4'!J132</f>
        <v>0</v>
      </c>
      <c r="I122" s="150">
        <f>'Annex 4'!K132</f>
        <v>0</v>
      </c>
      <c r="J122" s="150">
        <f>'Annex 4'!L132</f>
        <v>28</v>
      </c>
      <c r="K122" s="150">
        <f>'Annex 4'!M132</f>
        <v>35</v>
      </c>
      <c r="L122" s="150">
        <f>'Annex 4'!N132</f>
        <v>0</v>
      </c>
      <c r="M122" s="156">
        <f t="shared" si="168"/>
        <v>0</v>
      </c>
      <c r="N122" s="156">
        <f t="shared" si="169"/>
        <v>0</v>
      </c>
      <c r="O122" s="156">
        <f t="shared" si="170"/>
        <v>5600</v>
      </c>
      <c r="P122" s="156">
        <f t="shared" si="171"/>
        <v>7000</v>
      </c>
      <c r="Q122" s="156">
        <f t="shared" si="172"/>
        <v>0</v>
      </c>
      <c r="R122" s="168">
        <f t="shared" si="173"/>
        <v>12600</v>
      </c>
      <c r="T122" s="90" t="s">
        <v>385</v>
      </c>
    </row>
    <row r="123" spans="2:20" ht="29.25" thickBot="1">
      <c r="B123" s="284"/>
      <c r="C123" s="150" t="str">
        <f>'Annex 4'!E133</f>
        <v>GCF</v>
      </c>
      <c r="D123" s="150" t="str">
        <f>'Annex 4'!F133</f>
        <v>Training, workshops, and conference</v>
      </c>
      <c r="E123" s="150" t="str">
        <f>'Annex 4'!G133</f>
        <v xml:space="preserve">Workshops on blueprinting the GCK. Approximately 10 attendees for each workshop. </v>
      </c>
      <c r="F123" s="150" t="str">
        <f>'Annex 4'!H133</f>
        <v>workshop</v>
      </c>
      <c r="G123" s="155">
        <f>'Annex 4'!I133</f>
        <v>300</v>
      </c>
      <c r="H123" s="150">
        <f>'Annex 4'!J133</f>
        <v>0</v>
      </c>
      <c r="I123" s="150">
        <f>'Annex 4'!K133</f>
        <v>0</v>
      </c>
      <c r="J123" s="150">
        <f>'Annex 4'!L133</f>
        <v>2</v>
      </c>
      <c r="K123" s="150">
        <f>'Annex 4'!M133</f>
        <v>3</v>
      </c>
      <c r="L123" s="150">
        <f>'Annex 4'!N133</f>
        <v>0</v>
      </c>
      <c r="M123" s="156">
        <f t="shared" si="168"/>
        <v>0</v>
      </c>
      <c r="N123" s="156">
        <f t="shared" si="169"/>
        <v>0</v>
      </c>
      <c r="O123" s="156">
        <f t="shared" si="170"/>
        <v>600</v>
      </c>
      <c r="P123" s="156">
        <f t="shared" si="171"/>
        <v>900</v>
      </c>
      <c r="Q123" s="156">
        <f t="shared" si="172"/>
        <v>0</v>
      </c>
      <c r="R123" s="168">
        <f t="shared" si="173"/>
        <v>1500</v>
      </c>
      <c r="T123" s="90" t="s">
        <v>385</v>
      </c>
    </row>
    <row r="124" spans="2:20" ht="14.1" customHeight="1">
      <c r="B124" s="282" t="s">
        <v>321</v>
      </c>
      <c r="C124" s="149" t="str">
        <f>'Annex 4'!E134</f>
        <v>GCF</v>
      </c>
      <c r="D124" s="149" t="str">
        <f>'Annex 4'!F134</f>
        <v>International consultant</v>
      </c>
      <c r="E124" s="149" t="str">
        <f>'Annex 4'!G134</f>
        <v>International expert</v>
      </c>
      <c r="F124" s="149" t="str">
        <f>'Annex 4'!H134</f>
        <v>person-day</v>
      </c>
      <c r="G124" s="153">
        <f>'Annex 4'!I134</f>
        <v>950</v>
      </c>
      <c r="H124" s="149">
        <f>'Annex 4'!J134</f>
        <v>0</v>
      </c>
      <c r="I124" s="149">
        <f>'Annex 4'!K134</f>
        <v>50</v>
      </c>
      <c r="J124" s="149">
        <f>'Annex 4'!L134</f>
        <v>40</v>
      </c>
      <c r="K124" s="149">
        <f>'Annex 4'!M134</f>
        <v>0</v>
      </c>
      <c r="L124" s="149">
        <f>'Annex 4'!N134</f>
        <v>0</v>
      </c>
      <c r="M124" s="154">
        <f t="shared" si="168"/>
        <v>0</v>
      </c>
      <c r="N124" s="154">
        <f t="shared" si="169"/>
        <v>47500</v>
      </c>
      <c r="O124" s="154">
        <f t="shared" si="170"/>
        <v>38000</v>
      </c>
      <c r="P124" s="154">
        <f t="shared" si="171"/>
        <v>0</v>
      </c>
      <c r="Q124" s="154">
        <f t="shared" si="172"/>
        <v>0</v>
      </c>
      <c r="R124" s="167">
        <f t="shared" si="173"/>
        <v>85500</v>
      </c>
      <c r="T124" s="90" t="s">
        <v>386</v>
      </c>
    </row>
    <row r="125" spans="2:20">
      <c r="B125" s="283"/>
      <c r="C125" s="150" t="str">
        <f>'Annex 4'!E135</f>
        <v>GCF</v>
      </c>
      <c r="D125" s="150" t="str">
        <f>'Annex 4'!F135</f>
        <v>Local consultants</v>
      </c>
      <c r="E125" s="150" t="str">
        <f>'Annex 4'!G135</f>
        <v>National expert</v>
      </c>
      <c r="F125" s="150" t="str">
        <f>'Annex 4'!H135</f>
        <v>person-day</v>
      </c>
      <c r="G125" s="155">
        <f>'Annex 4'!I135</f>
        <v>150</v>
      </c>
      <c r="H125" s="150">
        <f>'Annex 4'!J135</f>
        <v>0</v>
      </c>
      <c r="I125" s="150">
        <f>'Annex 4'!K135</f>
        <v>200</v>
      </c>
      <c r="J125" s="150">
        <f>'Annex 4'!L135</f>
        <v>200</v>
      </c>
      <c r="K125" s="150">
        <f>'Annex 4'!M135</f>
        <v>0</v>
      </c>
      <c r="L125" s="150">
        <f>'Annex 4'!N135</f>
        <v>0</v>
      </c>
      <c r="M125" s="156">
        <f t="shared" si="168"/>
        <v>0</v>
      </c>
      <c r="N125" s="156">
        <f t="shared" si="169"/>
        <v>30000</v>
      </c>
      <c r="O125" s="156">
        <f t="shared" si="170"/>
        <v>30000</v>
      </c>
      <c r="P125" s="156">
        <f t="shared" si="171"/>
        <v>0</v>
      </c>
      <c r="Q125" s="156">
        <f t="shared" si="172"/>
        <v>0</v>
      </c>
      <c r="R125" s="168">
        <f t="shared" si="173"/>
        <v>60000</v>
      </c>
      <c r="T125" s="90" t="s">
        <v>386</v>
      </c>
    </row>
    <row r="126" spans="2:20">
      <c r="B126" s="283"/>
      <c r="C126" s="150" t="str">
        <f>'Annex 4'!E136</f>
        <v>GCF</v>
      </c>
      <c r="D126" s="150" t="str">
        <f>'Annex 4'!F136</f>
        <v>Travel</v>
      </c>
      <c r="E126" s="150" t="str">
        <f>'Annex 4'!G136</f>
        <v>Local transport in Kigali. Rental of car / taxi</v>
      </c>
      <c r="F126" s="150" t="str">
        <f>'Annex 4'!H136</f>
        <v>daily car rental</v>
      </c>
      <c r="G126" s="155">
        <f>'Annex 4'!I136</f>
        <v>100</v>
      </c>
      <c r="H126" s="150">
        <f>'Annex 4'!J136</f>
        <v>0</v>
      </c>
      <c r="I126" s="150">
        <f>'Annex 4'!K136</f>
        <v>50</v>
      </c>
      <c r="J126" s="150">
        <f>'Annex 4'!L136</f>
        <v>40</v>
      </c>
      <c r="K126" s="150">
        <f>'Annex 4'!M136</f>
        <v>0</v>
      </c>
      <c r="L126" s="150">
        <f>'Annex 4'!N136</f>
        <v>0</v>
      </c>
      <c r="M126" s="156">
        <f t="shared" ref="M126" si="174">$G126*H126</f>
        <v>0</v>
      </c>
      <c r="N126" s="156">
        <f t="shared" ref="N126" si="175">$G126*I126</f>
        <v>5000</v>
      </c>
      <c r="O126" s="156">
        <f t="shared" ref="O126" si="176">$G126*J126</f>
        <v>4000</v>
      </c>
      <c r="P126" s="156">
        <f t="shared" ref="P126" si="177">$G126*K126</f>
        <v>0</v>
      </c>
      <c r="Q126" s="156">
        <f t="shared" ref="Q126" si="178">$G126*L126</f>
        <v>0</v>
      </c>
      <c r="R126" s="168">
        <f t="shared" ref="R126" si="179">SUM(M126:Q126)</f>
        <v>9000</v>
      </c>
      <c r="T126" s="90" t="s">
        <v>386</v>
      </c>
    </row>
    <row r="127" spans="2:20" ht="29.25" thickBot="1">
      <c r="B127" s="284"/>
      <c r="C127" s="150" t="str">
        <f>'Annex 4'!E137</f>
        <v>GCF</v>
      </c>
      <c r="D127" s="150" t="str">
        <f>'Annex 4'!F137</f>
        <v>Training, workshops, and conference</v>
      </c>
      <c r="E127" s="150" t="str">
        <f>'Annex 4'!G137</f>
        <v xml:space="preserve">Workshops on recycling value chains. Approximately 30 attendees for each workshop. </v>
      </c>
      <c r="F127" s="150" t="str">
        <f>'Annex 4'!H137</f>
        <v>workshop</v>
      </c>
      <c r="G127" s="155">
        <f>'Annex 4'!I137</f>
        <v>500</v>
      </c>
      <c r="H127" s="150">
        <f>'Annex 4'!J137</f>
        <v>0</v>
      </c>
      <c r="I127" s="150">
        <f>'Annex 4'!K137</f>
        <v>2</v>
      </c>
      <c r="J127" s="150">
        <f>'Annex 4'!L137</f>
        <v>2</v>
      </c>
      <c r="K127" s="150">
        <f>'Annex 4'!M137</f>
        <v>0</v>
      </c>
      <c r="L127" s="150">
        <f>'Annex 4'!N137</f>
        <v>0</v>
      </c>
      <c r="M127" s="156">
        <f t="shared" ref="M127" si="180">$G127*H127</f>
        <v>0</v>
      </c>
      <c r="N127" s="156">
        <f t="shared" ref="N127" si="181">$G127*I127</f>
        <v>1000</v>
      </c>
      <c r="O127" s="156">
        <f t="shared" ref="O127" si="182">$G127*J127</f>
        <v>1000</v>
      </c>
      <c r="P127" s="156">
        <f t="shared" ref="P127" si="183">$G127*K127</f>
        <v>0</v>
      </c>
      <c r="Q127" s="156">
        <f t="shared" ref="Q127" si="184">$G127*L127</f>
        <v>0</v>
      </c>
      <c r="R127" s="168">
        <f t="shared" ref="R127" si="185">SUM(M127:Q127)</f>
        <v>2000</v>
      </c>
      <c r="T127" s="90" t="s">
        <v>386</v>
      </c>
    </row>
    <row r="128" spans="2:20" ht="38.1" customHeight="1">
      <c r="B128" s="280" t="s">
        <v>387</v>
      </c>
      <c r="C128" s="149" t="str">
        <f>'Annex 4'!E138</f>
        <v>GCF</v>
      </c>
      <c r="D128" s="149" t="str">
        <f>'Annex 4'!F138</f>
        <v>International consultant</v>
      </c>
      <c r="E128" s="149" t="str">
        <f>'Annex 4'!G138</f>
        <v>International expert</v>
      </c>
      <c r="F128" s="149" t="str">
        <f>'Annex 4'!H138</f>
        <v>person-day</v>
      </c>
      <c r="G128" s="153">
        <f>'Annex 4'!I138</f>
        <v>950</v>
      </c>
      <c r="H128" s="149">
        <f>'Annex 4'!J138</f>
        <v>0</v>
      </c>
      <c r="I128" s="149">
        <f>'Annex 4'!K138</f>
        <v>0</v>
      </c>
      <c r="J128" s="149">
        <f>'Annex 4'!L138</f>
        <v>0</v>
      </c>
      <c r="K128" s="149">
        <f>'Annex 4'!M138</f>
        <v>40</v>
      </c>
      <c r="L128" s="149">
        <f>'Annex 4'!N138</f>
        <v>40</v>
      </c>
      <c r="M128" s="154">
        <f t="shared" ref="M128:M131" si="186">$G128*H128</f>
        <v>0</v>
      </c>
      <c r="N128" s="154">
        <f t="shared" ref="N128:N131" si="187">$G128*I128</f>
        <v>0</v>
      </c>
      <c r="O128" s="154">
        <f t="shared" ref="O128:O131" si="188">$G128*J128</f>
        <v>0</v>
      </c>
      <c r="P128" s="154">
        <f t="shared" ref="P128:P131" si="189">$G128*K128</f>
        <v>38000</v>
      </c>
      <c r="Q128" s="154">
        <f t="shared" ref="Q128:Q131" si="190">$G128*L128</f>
        <v>38000</v>
      </c>
      <c r="R128" s="167">
        <f t="shared" ref="R128:R131" si="191">SUM(M128:Q128)</f>
        <v>76000</v>
      </c>
      <c r="T128" s="90" t="s">
        <v>388</v>
      </c>
    </row>
    <row r="129" spans="2:20" ht="42.6" customHeight="1" thickBot="1">
      <c r="B129" s="281"/>
      <c r="C129" s="150" t="str">
        <f>'Annex 4'!E139</f>
        <v>GCF</v>
      </c>
      <c r="D129" s="150" t="str">
        <f>'Annex 4'!F139</f>
        <v>Local consultants</v>
      </c>
      <c r="E129" s="150" t="str">
        <f>'Annex 4'!G139</f>
        <v>National experts</v>
      </c>
      <c r="F129" s="150" t="str">
        <f>'Annex 4'!H139</f>
        <v>person-day</v>
      </c>
      <c r="G129" s="155">
        <f>'Annex 4'!I139</f>
        <v>150</v>
      </c>
      <c r="H129" s="150">
        <f>'Annex 4'!J139</f>
        <v>0</v>
      </c>
      <c r="I129" s="150">
        <f>'Annex 4'!K139</f>
        <v>0</v>
      </c>
      <c r="J129" s="150">
        <f>'Annex 4'!L139</f>
        <v>0</v>
      </c>
      <c r="K129" s="150">
        <f>'Annex 4'!M139</f>
        <v>300</v>
      </c>
      <c r="L129" s="150">
        <f>'Annex 4'!N139</f>
        <v>300</v>
      </c>
      <c r="M129" s="156">
        <f t="shared" si="186"/>
        <v>0</v>
      </c>
      <c r="N129" s="156">
        <f t="shared" si="187"/>
        <v>0</v>
      </c>
      <c r="O129" s="156">
        <f t="shared" si="188"/>
        <v>0</v>
      </c>
      <c r="P129" s="156">
        <f t="shared" si="189"/>
        <v>45000</v>
      </c>
      <c r="Q129" s="156">
        <f t="shared" si="190"/>
        <v>45000</v>
      </c>
      <c r="R129" s="168">
        <f t="shared" si="191"/>
        <v>90000</v>
      </c>
      <c r="T129" s="90" t="s">
        <v>388</v>
      </c>
    </row>
    <row r="130" spans="2:20" ht="28.5">
      <c r="B130" s="282" t="s">
        <v>327</v>
      </c>
      <c r="C130" s="149" t="str">
        <f>'Annex 4'!E140</f>
        <v>GCF</v>
      </c>
      <c r="D130" s="149" t="str">
        <f>'Annex 4'!F140</f>
        <v>Local consultants</v>
      </c>
      <c r="E130" s="149" t="str">
        <f>'Annex 4'!G140</f>
        <v>IT costs - costs to design the system and update it</v>
      </c>
      <c r="F130" s="149" t="str">
        <f>'Annex 4'!H140</f>
        <v>lump sum</v>
      </c>
      <c r="G130" s="153">
        <f>'Annex 4'!I140</f>
        <v>15000</v>
      </c>
      <c r="H130" s="149">
        <f>'Annex 4'!J140</f>
        <v>0</v>
      </c>
      <c r="I130" s="149">
        <f>'Annex 4'!K140</f>
        <v>1</v>
      </c>
      <c r="J130" s="149">
        <f>'Annex 4'!L140</f>
        <v>0.2</v>
      </c>
      <c r="K130" s="149">
        <f>'Annex 4'!M140</f>
        <v>0.2</v>
      </c>
      <c r="L130" s="149">
        <f>'Annex 4'!N140</f>
        <v>0.2</v>
      </c>
      <c r="M130" s="154">
        <f t="shared" si="186"/>
        <v>0</v>
      </c>
      <c r="N130" s="154">
        <f t="shared" si="187"/>
        <v>15000</v>
      </c>
      <c r="O130" s="154">
        <f t="shared" si="188"/>
        <v>3000</v>
      </c>
      <c r="P130" s="154">
        <f t="shared" si="189"/>
        <v>3000</v>
      </c>
      <c r="Q130" s="154">
        <f t="shared" si="190"/>
        <v>3000</v>
      </c>
      <c r="R130" s="167">
        <f t="shared" si="191"/>
        <v>24000</v>
      </c>
      <c r="T130" s="90" t="s">
        <v>389</v>
      </c>
    </row>
    <row r="131" spans="2:20">
      <c r="B131" s="283"/>
      <c r="C131" s="150" t="str">
        <f>'Annex 4'!E141</f>
        <v>GCF</v>
      </c>
      <c r="D131" s="150" t="str">
        <f>'Annex 4'!F141</f>
        <v>International consultant</v>
      </c>
      <c r="E131" s="150" t="str">
        <f>'Annex 4'!G141</f>
        <v>International expert</v>
      </c>
      <c r="F131" s="150" t="str">
        <f>'Annex 4'!H141</f>
        <v>person-day</v>
      </c>
      <c r="G131" s="155">
        <f>'Annex 4'!I141</f>
        <v>950</v>
      </c>
      <c r="H131" s="150">
        <f>'Annex 4'!J141</f>
        <v>10</v>
      </c>
      <c r="I131" s="150">
        <f>'Annex 4'!K141</f>
        <v>20</v>
      </c>
      <c r="J131" s="150">
        <f>'Annex 4'!L141</f>
        <v>20</v>
      </c>
      <c r="K131" s="150">
        <f>'Annex 4'!M141</f>
        <v>20</v>
      </c>
      <c r="L131" s="150">
        <f>'Annex 4'!N141</f>
        <v>20</v>
      </c>
      <c r="M131" s="156">
        <f t="shared" si="186"/>
        <v>9500</v>
      </c>
      <c r="N131" s="156">
        <f t="shared" si="187"/>
        <v>19000</v>
      </c>
      <c r="O131" s="156">
        <f t="shared" si="188"/>
        <v>19000</v>
      </c>
      <c r="P131" s="156">
        <f t="shared" si="189"/>
        <v>19000</v>
      </c>
      <c r="Q131" s="156">
        <f t="shared" si="190"/>
        <v>19000</v>
      </c>
      <c r="R131" s="168">
        <f t="shared" si="191"/>
        <v>85500</v>
      </c>
      <c r="T131" s="90" t="s">
        <v>389</v>
      </c>
    </row>
    <row r="132" spans="2:20" ht="15" thickBot="1">
      <c r="B132" s="284"/>
      <c r="C132" s="150" t="str">
        <f>'Annex 4'!E142</f>
        <v>GCF</v>
      </c>
      <c r="D132" s="150" t="str">
        <f>'Annex 4'!F142</f>
        <v>Local consultants</v>
      </c>
      <c r="E132" s="150" t="str">
        <f>'Annex 4'!G142</f>
        <v>National expert</v>
      </c>
      <c r="F132" s="150" t="str">
        <f>'Annex 4'!H142</f>
        <v>person-day</v>
      </c>
      <c r="G132" s="155">
        <f>'Annex 4'!I142</f>
        <v>150</v>
      </c>
      <c r="H132" s="150">
        <f>'Annex 4'!J142</f>
        <v>120</v>
      </c>
      <c r="I132" s="150">
        <f>'Annex 4'!K142</f>
        <v>120</v>
      </c>
      <c r="J132" s="150">
        <f>'Annex 4'!L142</f>
        <v>120</v>
      </c>
      <c r="K132" s="150">
        <f>'Annex 4'!M142</f>
        <v>120</v>
      </c>
      <c r="L132" s="150">
        <f>'Annex 4'!N142</f>
        <v>120</v>
      </c>
      <c r="M132" s="156">
        <f t="shared" ref="M132" si="192">$G132*H132</f>
        <v>18000</v>
      </c>
      <c r="N132" s="156">
        <f t="shared" ref="N132" si="193">$G132*I132</f>
        <v>18000</v>
      </c>
      <c r="O132" s="156">
        <f t="shared" ref="O132" si="194">$G132*J132</f>
        <v>18000</v>
      </c>
      <c r="P132" s="156">
        <f t="shared" ref="P132" si="195">$G132*K132</f>
        <v>18000</v>
      </c>
      <c r="Q132" s="156">
        <f t="shared" ref="Q132" si="196">$G132*L132</f>
        <v>18000</v>
      </c>
      <c r="R132" s="168">
        <f t="shared" ref="R132" si="197">SUM(M132:Q132)</f>
        <v>90000</v>
      </c>
      <c r="T132" s="90" t="s">
        <v>389</v>
      </c>
    </row>
    <row r="133" spans="2:20" ht="15.75" thickBot="1">
      <c r="B133" s="157" t="s">
        <v>331</v>
      </c>
      <c r="C133" s="14"/>
      <c r="E133" s="15"/>
      <c r="G133" s="93"/>
      <c r="H133" s="19"/>
      <c r="I133" s="19"/>
      <c r="J133" s="19"/>
      <c r="K133" s="19"/>
      <c r="L133" s="19"/>
      <c r="M133" s="36"/>
      <c r="N133" s="36"/>
      <c r="O133" s="36"/>
      <c r="P133" s="36"/>
      <c r="Q133" s="36"/>
      <c r="R133" s="169"/>
    </row>
    <row r="134" spans="2:20" ht="15">
      <c r="B134" s="14"/>
      <c r="C134" s="149" t="str">
        <f>'Annex 4'!E144</f>
        <v>GCF</v>
      </c>
      <c r="D134" s="149" t="str">
        <f>'Annex 4'!F144</f>
        <v xml:space="preserve">Staff Cost </v>
      </c>
      <c r="E134" s="149" t="str">
        <f>'Annex 4'!G144</f>
        <v>Project manager</v>
      </c>
      <c r="F134" s="149" t="str">
        <f>'Annex 4'!H144</f>
        <v>person-month</v>
      </c>
      <c r="G134" s="153">
        <f>'Annex 4'!I144</f>
        <v>5000</v>
      </c>
      <c r="H134" s="149">
        <f>'Annex 4'!J144</f>
        <v>12</v>
      </c>
      <c r="I134" s="149">
        <f>'Annex 4'!K144</f>
        <v>12</v>
      </c>
      <c r="J134" s="149">
        <f>'Annex 4'!L144</f>
        <v>12</v>
      </c>
      <c r="K134" s="149">
        <f>'Annex 4'!M144</f>
        <v>12</v>
      </c>
      <c r="L134" s="149">
        <f>'Annex 4'!N144</f>
        <v>12</v>
      </c>
      <c r="M134" s="154">
        <f t="shared" ref="M134:M135" si="198">$G134*H134</f>
        <v>60000</v>
      </c>
      <c r="N134" s="154">
        <f t="shared" ref="N134:N135" si="199">$G134*I134</f>
        <v>60000</v>
      </c>
      <c r="O134" s="154">
        <f t="shared" ref="O134:O135" si="200">$G134*J134</f>
        <v>60000</v>
      </c>
      <c r="P134" s="154">
        <f t="shared" ref="P134:P135" si="201">$G134*K134</f>
        <v>60000</v>
      </c>
      <c r="Q134" s="154">
        <f t="shared" ref="Q134:Q135" si="202">$G134*L134</f>
        <v>60000</v>
      </c>
      <c r="R134" s="167">
        <f t="shared" ref="R134:R135" si="203">SUM(M134:Q134)</f>
        <v>300000</v>
      </c>
      <c r="T134" s="90" t="s">
        <v>390</v>
      </c>
    </row>
    <row r="135" spans="2:20">
      <c r="C135" s="150" t="str">
        <f>'Annex 4'!E145</f>
        <v>GCF</v>
      </c>
      <c r="D135" s="150" t="str">
        <f>'Annex 4'!F145</f>
        <v xml:space="preserve">Staff Cost </v>
      </c>
      <c r="E135" s="150" t="str">
        <f>'Annex 4'!G145</f>
        <v>Finance officer</v>
      </c>
      <c r="F135" s="150" t="str">
        <f>'Annex 4'!H145</f>
        <v>person-month</v>
      </c>
      <c r="G135" s="155">
        <f>'Annex 4'!I145</f>
        <v>3500</v>
      </c>
      <c r="H135" s="150">
        <f>'Annex 4'!J145</f>
        <v>6</v>
      </c>
      <c r="I135" s="150">
        <f>'Annex 4'!K145</f>
        <v>6</v>
      </c>
      <c r="J135" s="150">
        <f>'Annex 4'!L145</f>
        <v>6</v>
      </c>
      <c r="K135" s="150">
        <f>'Annex 4'!M145</f>
        <v>6</v>
      </c>
      <c r="L135" s="150">
        <f>'Annex 4'!N145</f>
        <v>6</v>
      </c>
      <c r="M135" s="156">
        <f t="shared" si="198"/>
        <v>21000</v>
      </c>
      <c r="N135" s="156">
        <f t="shared" si="199"/>
        <v>21000</v>
      </c>
      <c r="O135" s="156">
        <f t="shared" si="200"/>
        <v>21000</v>
      </c>
      <c r="P135" s="156">
        <f t="shared" si="201"/>
        <v>21000</v>
      </c>
      <c r="Q135" s="156">
        <f t="shared" si="202"/>
        <v>21000</v>
      </c>
      <c r="R135" s="168">
        <f t="shared" si="203"/>
        <v>105000</v>
      </c>
      <c r="T135" s="90" t="s">
        <v>390</v>
      </c>
    </row>
    <row r="136" spans="2:20">
      <c r="C136" s="150" t="str">
        <f>'Annex 4'!E146</f>
        <v>GCF</v>
      </c>
      <c r="D136" s="150" t="str">
        <f>'Annex 4'!F146</f>
        <v xml:space="preserve">Staff Cost </v>
      </c>
      <c r="E136" s="150" t="str">
        <f>'Annex 4'!G146</f>
        <v>Project administrator</v>
      </c>
      <c r="F136" s="150" t="str">
        <f>'Annex 4'!H146</f>
        <v>person-month</v>
      </c>
      <c r="G136" s="155">
        <f>'Annex 4'!I146</f>
        <v>3000</v>
      </c>
      <c r="H136" s="150">
        <f>'Annex 4'!J146</f>
        <v>12</v>
      </c>
      <c r="I136" s="150">
        <f>'Annex 4'!K146</f>
        <v>12</v>
      </c>
      <c r="J136" s="150">
        <f>'Annex 4'!L146</f>
        <v>12</v>
      </c>
      <c r="K136" s="150">
        <f>'Annex 4'!M146</f>
        <v>12</v>
      </c>
      <c r="L136" s="150">
        <f>'Annex 4'!N146</f>
        <v>12</v>
      </c>
      <c r="M136" s="156">
        <f t="shared" ref="M136:M142" si="204">$G136*H136</f>
        <v>36000</v>
      </c>
      <c r="N136" s="156">
        <f t="shared" ref="N136:N142" si="205">$G136*I136</f>
        <v>36000</v>
      </c>
      <c r="O136" s="156">
        <f t="shared" ref="O136:O142" si="206">$G136*J136</f>
        <v>36000</v>
      </c>
      <c r="P136" s="156">
        <f t="shared" ref="P136:P142" si="207">$G136*K136</f>
        <v>36000</v>
      </c>
      <c r="Q136" s="156">
        <f t="shared" ref="Q136:Q142" si="208">$G136*L136</f>
        <v>36000</v>
      </c>
      <c r="R136" s="168">
        <f t="shared" ref="R136:R142" si="209">SUM(M136:Q136)</f>
        <v>180000</v>
      </c>
      <c r="T136" s="90" t="s">
        <v>390</v>
      </c>
    </row>
    <row r="137" spans="2:20">
      <c r="C137" s="150" t="str">
        <f>'Annex 4'!E147</f>
        <v>GCF</v>
      </c>
      <c r="D137" s="150" t="str">
        <f>'Annex 4'!F147</f>
        <v xml:space="preserve">Staff Cost </v>
      </c>
      <c r="E137" s="150" t="str">
        <f>'Annex 4'!G147</f>
        <v>Communication officer</v>
      </c>
      <c r="F137" s="150" t="str">
        <f>'Annex 4'!H147</f>
        <v>person-month</v>
      </c>
      <c r="G137" s="155">
        <f>'Annex 4'!I147</f>
        <v>3000</v>
      </c>
      <c r="H137" s="150">
        <f>'Annex 4'!J147</f>
        <v>6</v>
      </c>
      <c r="I137" s="150">
        <f>'Annex 4'!K147</f>
        <v>12</v>
      </c>
      <c r="J137" s="150">
        <f>'Annex 4'!L147</f>
        <v>12</v>
      </c>
      <c r="K137" s="150">
        <f>'Annex 4'!M147</f>
        <v>12</v>
      </c>
      <c r="L137" s="150">
        <f>'Annex 4'!N147</f>
        <v>12</v>
      </c>
      <c r="M137" s="156">
        <f t="shared" si="204"/>
        <v>18000</v>
      </c>
      <c r="N137" s="156">
        <f t="shared" si="205"/>
        <v>36000</v>
      </c>
      <c r="O137" s="156">
        <f t="shared" si="206"/>
        <v>36000</v>
      </c>
      <c r="P137" s="156">
        <f t="shared" si="207"/>
        <v>36000</v>
      </c>
      <c r="Q137" s="156">
        <f t="shared" si="208"/>
        <v>36000</v>
      </c>
      <c r="R137" s="168">
        <f t="shared" si="209"/>
        <v>162000</v>
      </c>
      <c r="T137" s="90" t="s">
        <v>390</v>
      </c>
    </row>
    <row r="138" spans="2:20">
      <c r="C138" s="150" t="str">
        <f>'Annex 4'!E148</f>
        <v>GCF</v>
      </c>
      <c r="D138" s="150" t="str">
        <f>'Annex 4'!F148</f>
        <v xml:space="preserve">Staff Cost </v>
      </c>
      <c r="E138" s="150" t="str">
        <f>'Annex 4'!G148</f>
        <v>Procurement specialist</v>
      </c>
      <c r="F138" s="150" t="str">
        <f>'Annex 4'!H148</f>
        <v>person-month</v>
      </c>
      <c r="G138" s="155">
        <f>'Annex 4'!I148</f>
        <v>3500</v>
      </c>
      <c r="H138" s="150">
        <f>'Annex 4'!J148</f>
        <v>8</v>
      </c>
      <c r="I138" s="150">
        <f>'Annex 4'!K148</f>
        <v>8</v>
      </c>
      <c r="J138" s="150">
        <f>'Annex 4'!L148</f>
        <v>3</v>
      </c>
      <c r="K138" s="150">
        <f>'Annex 4'!M148</f>
        <v>3</v>
      </c>
      <c r="L138" s="150">
        <f>'Annex 4'!N148</f>
        <v>3</v>
      </c>
      <c r="M138" s="156">
        <f t="shared" ref="M138" si="210">$G138*H138</f>
        <v>28000</v>
      </c>
      <c r="N138" s="156">
        <f t="shared" ref="N138" si="211">$G138*I138</f>
        <v>28000</v>
      </c>
      <c r="O138" s="156">
        <f t="shared" ref="O138" si="212">$G138*J138</f>
        <v>10500</v>
      </c>
      <c r="P138" s="156">
        <f t="shared" ref="P138" si="213">$G138*K138</f>
        <v>10500</v>
      </c>
      <c r="Q138" s="156">
        <f t="shared" ref="Q138" si="214">$G138*L138</f>
        <v>10500</v>
      </c>
      <c r="R138" s="168">
        <f t="shared" ref="R138" si="215">SUM(M138:Q138)</f>
        <v>87500</v>
      </c>
      <c r="T138" s="90" t="s">
        <v>390</v>
      </c>
    </row>
    <row r="139" spans="2:20" ht="28.5">
      <c r="C139" s="150" t="str">
        <f>'Annex 4'!E149</f>
        <v>GCF</v>
      </c>
      <c r="D139" s="150" t="str">
        <f>'Annex 4'!F149</f>
        <v>Local consultants</v>
      </c>
      <c r="E139" s="150" t="str">
        <f>'Annex 4'!G149</f>
        <v>Engaged to support progress, mid term and end of project evaluation</v>
      </c>
      <c r="F139" s="150" t="str">
        <f>'Annex 4'!H149</f>
        <v>lump sum</v>
      </c>
      <c r="G139" s="155">
        <f>'Annex 4'!I149</f>
        <v>8000</v>
      </c>
      <c r="H139" s="150">
        <f>'Annex 4'!J149</f>
        <v>1</v>
      </c>
      <c r="I139" s="150">
        <f>'Annex 4'!K149</f>
        <v>1</v>
      </c>
      <c r="J139" s="150">
        <f>'Annex 4'!L149</f>
        <v>1</v>
      </c>
      <c r="K139" s="150">
        <f>'Annex 4'!M149</f>
        <v>1</v>
      </c>
      <c r="L139" s="150">
        <f>'Annex 4'!N149</f>
        <v>1</v>
      </c>
      <c r="M139" s="156">
        <f t="shared" si="204"/>
        <v>8000</v>
      </c>
      <c r="N139" s="156">
        <f t="shared" si="205"/>
        <v>8000</v>
      </c>
      <c r="O139" s="156">
        <f t="shared" si="206"/>
        <v>8000</v>
      </c>
      <c r="P139" s="156">
        <f t="shared" si="207"/>
        <v>8000</v>
      </c>
      <c r="Q139" s="156">
        <f t="shared" si="208"/>
        <v>8000</v>
      </c>
      <c r="R139" s="168">
        <f t="shared" si="209"/>
        <v>40000</v>
      </c>
      <c r="T139" s="90" t="s">
        <v>390</v>
      </c>
    </row>
    <row r="140" spans="2:20" ht="28.5">
      <c r="C140" s="150" t="str">
        <f>'Annex 4'!E150</f>
        <v>GCF</v>
      </c>
      <c r="D140" s="150" t="str">
        <f>'Annex 4'!F150</f>
        <v>International consultant</v>
      </c>
      <c r="E140" s="150" t="str">
        <f>'Annex 4'!G150</f>
        <v xml:space="preserve">Input in setup of M&amp;E systems, Mid term and end of project evaluation expert </v>
      </c>
      <c r="F140" s="150" t="str">
        <f>'Annex 4'!H150</f>
        <v>person-days</v>
      </c>
      <c r="G140" s="155">
        <f>'Annex 4'!I150</f>
        <v>950</v>
      </c>
      <c r="H140" s="150">
        <f>'Annex 4'!J150</f>
        <v>15</v>
      </c>
      <c r="I140" s="150">
        <f>'Annex 4'!K150</f>
        <v>0</v>
      </c>
      <c r="J140" s="150">
        <f>'Annex 4'!L150</f>
        <v>60</v>
      </c>
      <c r="K140" s="150">
        <f>'Annex 4'!M150</f>
        <v>0</v>
      </c>
      <c r="L140" s="150">
        <f>'Annex 4'!N150</f>
        <v>90</v>
      </c>
      <c r="M140" s="156">
        <f t="shared" si="204"/>
        <v>14250</v>
      </c>
      <c r="N140" s="156">
        <f t="shared" si="205"/>
        <v>0</v>
      </c>
      <c r="O140" s="156">
        <f t="shared" si="206"/>
        <v>57000</v>
      </c>
      <c r="P140" s="156">
        <f t="shared" si="207"/>
        <v>0</v>
      </c>
      <c r="Q140" s="156">
        <f t="shared" si="208"/>
        <v>85500</v>
      </c>
      <c r="R140" s="168">
        <f t="shared" si="209"/>
        <v>156750</v>
      </c>
      <c r="T140" s="90" t="s">
        <v>390</v>
      </c>
    </row>
    <row r="141" spans="2:20" ht="28.5">
      <c r="C141" s="150" t="str">
        <f>'Annex 4'!E151</f>
        <v>GCF</v>
      </c>
      <c r="D141" s="150" t="str">
        <f>'Annex 4'!F151</f>
        <v>Equipment</v>
      </c>
      <c r="E141" s="150" t="str">
        <f>'Annex 4'!G151</f>
        <v>Equipment for use in PMU office (laptops, printer, scanner, etc)</v>
      </c>
      <c r="F141" s="150" t="str">
        <f>'Annex 4'!H151</f>
        <v>lump sum</v>
      </c>
      <c r="G141" s="155">
        <f>'Annex 4'!I151</f>
        <v>10000</v>
      </c>
      <c r="H141" s="150">
        <f>'Annex 4'!J151</f>
        <v>1</v>
      </c>
      <c r="I141" s="150">
        <f>'Annex 4'!K151</f>
        <v>0.5</v>
      </c>
      <c r="J141" s="150">
        <f>'Annex 4'!L151</f>
        <v>0.5</v>
      </c>
      <c r="K141" s="150">
        <f>'Annex 4'!M151</f>
        <v>0.5</v>
      </c>
      <c r="L141" s="150">
        <f>'Annex 4'!N151</f>
        <v>0.5</v>
      </c>
      <c r="M141" s="156">
        <f t="shared" si="204"/>
        <v>10000</v>
      </c>
      <c r="N141" s="156">
        <f t="shared" si="205"/>
        <v>5000</v>
      </c>
      <c r="O141" s="156">
        <f t="shared" si="206"/>
        <v>5000</v>
      </c>
      <c r="P141" s="156">
        <f t="shared" si="207"/>
        <v>5000</v>
      </c>
      <c r="Q141" s="156">
        <f t="shared" si="208"/>
        <v>5000</v>
      </c>
      <c r="R141" s="168">
        <f t="shared" si="209"/>
        <v>30000</v>
      </c>
      <c r="T141" s="90" t="s">
        <v>390</v>
      </c>
    </row>
    <row r="142" spans="2:20" ht="28.5">
      <c r="C142" s="150" t="str">
        <f>'Annex 4'!E152</f>
        <v>GCF</v>
      </c>
      <c r="D142" s="150" t="str">
        <f>'Annex 4'!F152</f>
        <v>Training, workshops, and conference</v>
      </c>
      <c r="E142" s="150" t="str">
        <f>'Annex 4'!G152</f>
        <v>Inception and quarterly meetings</v>
      </c>
      <c r="F142" s="150" t="str">
        <f>'Annex 4'!H152</f>
        <v>annual</v>
      </c>
      <c r="G142" s="155">
        <f>'Annex 4'!I152</f>
        <v>5000</v>
      </c>
      <c r="H142" s="150">
        <f>'Annex 4'!J152</f>
        <v>1</v>
      </c>
      <c r="I142" s="150">
        <f>'Annex 4'!K152</f>
        <v>1</v>
      </c>
      <c r="J142" s="150">
        <f>'Annex 4'!L152</f>
        <v>1</v>
      </c>
      <c r="K142" s="150">
        <f>'Annex 4'!M152</f>
        <v>1</v>
      </c>
      <c r="L142" s="150">
        <f>'Annex 4'!N152</f>
        <v>1</v>
      </c>
      <c r="M142" s="156">
        <f t="shared" si="204"/>
        <v>5000</v>
      </c>
      <c r="N142" s="156">
        <f t="shared" si="205"/>
        <v>5000</v>
      </c>
      <c r="O142" s="156">
        <f t="shared" si="206"/>
        <v>5000</v>
      </c>
      <c r="P142" s="156">
        <f t="shared" si="207"/>
        <v>5000</v>
      </c>
      <c r="Q142" s="156">
        <f t="shared" si="208"/>
        <v>5000</v>
      </c>
      <c r="R142" s="168">
        <f t="shared" si="209"/>
        <v>25000</v>
      </c>
      <c r="T142" s="90" t="s">
        <v>390</v>
      </c>
    </row>
    <row r="143" spans="2:20" ht="28.5">
      <c r="C143" s="150" t="str">
        <f>'Annex 4'!E153</f>
        <v>GCF</v>
      </c>
      <c r="D143" s="150" t="str">
        <f>'Annex 4'!F153</f>
        <v>Travel</v>
      </c>
      <c r="E143" s="150" t="str">
        <f>'Annex 4'!G153</f>
        <v>Travel for project monitoring inclusive of financial monitoring and assessment</v>
      </c>
      <c r="F143" s="150" t="str">
        <f>'Annex 4'!H153</f>
        <v>annual</v>
      </c>
      <c r="G143" s="155">
        <f>'Annex 4'!I153</f>
        <v>5000</v>
      </c>
      <c r="H143" s="150">
        <f>'Annex 4'!J153</f>
        <v>1</v>
      </c>
      <c r="I143" s="150">
        <f>'Annex 4'!K153</f>
        <v>1</v>
      </c>
      <c r="J143" s="150">
        <f>'Annex 4'!L153</f>
        <v>1</v>
      </c>
      <c r="K143" s="150">
        <f>'Annex 4'!M153</f>
        <v>1</v>
      </c>
      <c r="L143" s="150">
        <f>'Annex 4'!N153</f>
        <v>1</v>
      </c>
      <c r="M143" s="156">
        <f t="shared" ref="M143" si="216">$G143*H143</f>
        <v>5000</v>
      </c>
      <c r="N143" s="156">
        <f t="shared" ref="N143" si="217">$G143*I143</f>
        <v>5000</v>
      </c>
      <c r="O143" s="156">
        <f t="shared" ref="O143" si="218">$G143*J143</f>
        <v>5000</v>
      </c>
      <c r="P143" s="156">
        <f t="shared" ref="P143" si="219">$G143*K143</f>
        <v>5000</v>
      </c>
      <c r="Q143" s="156">
        <f t="shared" ref="Q143" si="220">$G143*L143</f>
        <v>5000</v>
      </c>
      <c r="R143" s="168">
        <f t="shared" ref="R143" si="221">SUM(M143:Q143)</f>
        <v>25000</v>
      </c>
      <c r="T143" s="90" t="s">
        <v>390</v>
      </c>
    </row>
    <row r="144" spans="2:20">
      <c r="D144"/>
      <c r="R144" s="170"/>
    </row>
    <row r="145" spans="2:18" ht="15">
      <c r="B145" s="14" t="s">
        <v>391</v>
      </c>
      <c r="G145" s="93"/>
      <c r="H145" s="36"/>
      <c r="I145" s="36"/>
      <c r="J145" s="36"/>
      <c r="K145" s="36"/>
      <c r="L145" s="36"/>
      <c r="M145" s="192">
        <f>SUM(M134:M143)</f>
        <v>205250</v>
      </c>
      <c r="N145" s="192">
        <f t="shared" ref="N145:R145" si="222">SUM(N134:N143)</f>
        <v>204000</v>
      </c>
      <c r="O145" s="192">
        <f t="shared" si="222"/>
        <v>243500</v>
      </c>
      <c r="P145" s="192">
        <f t="shared" si="222"/>
        <v>186500</v>
      </c>
      <c r="Q145" s="192">
        <f t="shared" si="222"/>
        <v>272000</v>
      </c>
      <c r="R145" s="193">
        <f t="shared" si="222"/>
        <v>1111250</v>
      </c>
    </row>
    <row r="146" spans="2:18">
      <c r="G146" s="93"/>
      <c r="H146" s="36"/>
      <c r="I146" s="36"/>
      <c r="J146" s="36"/>
      <c r="K146" s="36"/>
      <c r="L146" s="36"/>
      <c r="N146" s="36"/>
      <c r="O146" s="36"/>
      <c r="P146" s="36"/>
      <c r="Q146" s="36"/>
      <c r="R146" s="169"/>
    </row>
    <row r="147" spans="2:18">
      <c r="G147" s="93"/>
      <c r="H147" s="36"/>
      <c r="I147" s="36"/>
      <c r="J147" s="36"/>
      <c r="K147" s="36"/>
      <c r="L147" s="36"/>
      <c r="N147" s="36"/>
      <c r="O147" s="36"/>
      <c r="P147" s="36"/>
      <c r="Q147" s="36"/>
      <c r="R147" s="169"/>
    </row>
    <row r="148" spans="2:18" ht="15">
      <c r="B148" s="14" t="s">
        <v>392</v>
      </c>
      <c r="G148" s="93"/>
      <c r="H148" s="36"/>
      <c r="I148" s="36"/>
      <c r="J148" s="36"/>
      <c r="K148" s="36"/>
      <c r="L148" s="96" t="s">
        <v>393</v>
      </c>
      <c r="M148" s="171">
        <f>SUM(M9:M143)</f>
        <v>784583.80323244061</v>
      </c>
      <c r="N148" s="171">
        <f t="shared" ref="N148:R148" si="223">SUM(N9:N143)</f>
        <v>1461022.0875509307</v>
      </c>
      <c r="O148" s="171">
        <f t="shared" si="223"/>
        <v>14238495.265571991</v>
      </c>
      <c r="P148" s="171">
        <f t="shared" si="223"/>
        <v>1174626.5632725165</v>
      </c>
      <c r="Q148" s="171">
        <f t="shared" si="223"/>
        <v>906950</v>
      </c>
      <c r="R148" s="172">
        <f t="shared" si="223"/>
        <v>18565677.71962788</v>
      </c>
    </row>
    <row r="149" spans="2:18" ht="42.75">
      <c r="B149" s="15" t="s">
        <v>356</v>
      </c>
      <c r="C149" s="142">
        <f>SUM(D159,D161,D162,D163,D164)</f>
        <v>15983653.803338801</v>
      </c>
      <c r="D149" s="1" t="s">
        <v>394</v>
      </c>
      <c r="G149" s="93"/>
      <c r="H149" s="36"/>
      <c r="I149" s="36"/>
      <c r="J149" s="36"/>
      <c r="K149" s="36"/>
      <c r="L149" s="36"/>
      <c r="N149" s="36"/>
      <c r="O149" s="36"/>
      <c r="P149" s="36"/>
      <c r="Q149" s="36"/>
      <c r="R149" s="36"/>
    </row>
    <row r="150" spans="2:18">
      <c r="B150" t="s">
        <v>358</v>
      </c>
      <c r="C150" s="142">
        <f>C149*Dashboard!C34</f>
        <v>2877057.6846009842</v>
      </c>
      <c r="F150" s="97" t="s">
        <v>351</v>
      </c>
      <c r="G150" s="177">
        <f>SUMIF(C9:C143,"GCF",R9:R143)</f>
        <v>18498177.71962788</v>
      </c>
      <c r="L150" s="26" t="s">
        <v>395</v>
      </c>
      <c r="M150" s="163">
        <f>SUMIF($D9:$D$143,$C$159,M$9:M$143)+SUMIF($D$9:$D$143,$C$160,M$9:M$143)+SUMIF($D$9:$D$143,$C$165,M$9:M$143)+SUMIF($D$9:$D$143,$C$166,M$9:M$143)</f>
        <v>589733.80323244061</v>
      </c>
      <c r="N150" s="163">
        <f>SUMIF($D9:$D$143,$C$159,N$9:N$143)+SUMIF($D$9:$D$143,$C$160,N$9:N$143)+SUMIF($D$9:$D$143,$C$165,N$9:N$143)+SUMIF($D$9:$D$143,$C$166,N$9:N$143)</f>
        <v>1126204.5875509304</v>
      </c>
      <c r="O150" s="163">
        <f>SUMIF($D9:$D$143,$C$159,O$9:O$143)+SUMIF($D$9:$D$143,$C$160,O$9:O$143)+SUMIF($D$9:$D$143,$C$165,O$9:O$143)+SUMIF($D$9:$D$143,$C$166,O$9:O$143)</f>
        <v>1039388.9622331907</v>
      </c>
      <c r="P150" s="163">
        <f>SUMIF($D9:$D$143,$C$159,P$9:P$143)+SUMIF($D$9:$D$143,$C$160,P$9:P$143)+SUMIF($D$9:$D$143,$C$165,P$9:P$143)+SUMIF($D$9:$D$143,$C$166,P$9:P$143)</f>
        <v>922096.56327251648</v>
      </c>
      <c r="Q150" s="163">
        <f>SUMIF($D9:$D$143,$C$159,Q$9:Q$143)+SUMIF($D$9:$D$143,$C$160,Q$9:Q$143)+SUMIF($D$9:$D$143,$C$165,Q$9:Q$143)+SUMIF($D$9:$D$143,$C$166,Q$9:Q$143)</f>
        <v>684100</v>
      </c>
      <c r="R150" s="36"/>
    </row>
    <row r="151" spans="2:18">
      <c r="C151" s="176"/>
      <c r="F151" s="97" t="s">
        <v>396</v>
      </c>
      <c r="G151" s="177">
        <f>SUMIF(C9:C143,"Country",R9:R143)</f>
        <v>67500</v>
      </c>
      <c r="L151" s="26" t="s">
        <v>397</v>
      </c>
      <c r="M151" s="163">
        <f>SUMIF($D$9:$D$143,$C$163,M$9:M$143)+SUMIF($D9:$D$143,$C$162,M$9:M$143)</f>
        <v>10000</v>
      </c>
      <c r="N151" s="163">
        <f>SUMIF($D$9:$D$143,$C$163,N$9:N$143)+SUMIF($D9:$D$143,$C$162,N$9:N$143)</f>
        <v>109967.5</v>
      </c>
      <c r="O151" s="163">
        <f>SUMIF($D$9:$D$143,$C$163,O$9:O$143)+SUMIF($D9:$D$143,$C$162,O$9:O$143)</f>
        <v>12981456.303338801</v>
      </c>
      <c r="P151" s="163">
        <f>SUMIF($D$9:$D$143,$C$163,P$9:P$143)+SUMIF($D9:$D$143,$C$162,P$9:P$143)</f>
        <v>26780</v>
      </c>
      <c r="Q151" s="163">
        <f>SUMIF($D$9:$D$143,$C$163,Q$9:Q$143)+SUMIF($D9:$D$143,$C$162,Q$9:Q$143)</f>
        <v>5000</v>
      </c>
      <c r="R151" s="36"/>
    </row>
    <row r="152" spans="2:18" ht="29.25">
      <c r="B152" s="15" t="s">
        <v>359</v>
      </c>
      <c r="C152" s="142">
        <f>SUM(D160,D165)</f>
        <v>1631350</v>
      </c>
      <c r="F152" s="97" t="s">
        <v>393</v>
      </c>
      <c r="G152" s="178">
        <f>G151+G150</f>
        <v>18565677.71962788</v>
      </c>
      <c r="L152" s="26" t="s">
        <v>398</v>
      </c>
      <c r="M152" s="163">
        <f>SUMIF($D9:$D$143,$C$161,M$9:M$143)+SUMIF($D9:$D$143,$C$164,M$9:M$143)</f>
        <v>184850</v>
      </c>
      <c r="N152" s="163">
        <f>SUMIF($D9:$D$143,$C$161,N$9:N$143)+SUMIF($D9:$D$143,$C$164,N$9:N$143)</f>
        <v>224850</v>
      </c>
      <c r="O152" s="163">
        <f>SUMIF($D9:$D$143,$C$161,O$9:O$143)+SUMIF($D9:$D$143,$C$164,O$9:O$143)</f>
        <v>217650</v>
      </c>
      <c r="P152" s="163">
        <f>SUMIF($D9:$D$143,$C$161,P$9:P$143)+SUMIF($D9:$D$143,$C$164,P$9:P$143)</f>
        <v>225750</v>
      </c>
      <c r="Q152" s="163">
        <f>SUMIF($D9:$D$143,$C$161,Q$9:Q$143)+SUMIF($D9:$D$143,$C$164,Q$9:Q$143)</f>
        <v>217850</v>
      </c>
      <c r="R152" s="36"/>
    </row>
    <row r="153" spans="2:18">
      <c r="B153" t="s">
        <v>360</v>
      </c>
      <c r="C153" s="142">
        <f>C152*Dashboard!C35</f>
        <v>244702.5</v>
      </c>
      <c r="G153" s="93"/>
      <c r="H153" s="36"/>
      <c r="I153" s="36"/>
      <c r="J153" s="36"/>
      <c r="K153" s="36"/>
      <c r="L153" s="97"/>
      <c r="M153" s="163"/>
      <c r="N153" s="163"/>
      <c r="O153" s="163"/>
      <c r="P153" s="163"/>
      <c r="Q153" s="163"/>
      <c r="R153" s="36"/>
    </row>
    <row r="154" spans="2:18">
      <c r="C154" s="176"/>
      <c r="G154" s="93"/>
      <c r="H154" s="36"/>
      <c r="I154" s="36"/>
      <c r="J154" s="36"/>
      <c r="K154" s="36"/>
      <c r="L154" s="36"/>
      <c r="M154" s="163"/>
      <c r="N154" s="163"/>
      <c r="O154" s="163"/>
      <c r="P154" s="163"/>
      <c r="Q154" s="163"/>
      <c r="R154" s="36"/>
    </row>
    <row r="155" spans="2:18">
      <c r="B155" t="s">
        <v>361</v>
      </c>
      <c r="C155" s="142">
        <f>C153+C150</f>
        <v>3121760.1846009842</v>
      </c>
      <c r="G155" s="93"/>
      <c r="H155" s="36"/>
      <c r="I155" s="36"/>
      <c r="J155" s="36"/>
      <c r="K155" s="36"/>
      <c r="L155" t="s">
        <v>393</v>
      </c>
      <c r="M155" s="163">
        <f>SUM(M150:M153)</f>
        <v>784583.80323244061</v>
      </c>
      <c r="N155" s="163">
        <f>SUM(N150:N153)</f>
        <v>1461022.0875509304</v>
      </c>
      <c r="O155" s="163">
        <f>SUM(O150:O153)</f>
        <v>14238495.265571993</v>
      </c>
      <c r="P155" s="163">
        <f>SUM(P150:P153)</f>
        <v>1174626.5632725165</v>
      </c>
      <c r="Q155" s="163">
        <f>SUM(Q150:Q153)</f>
        <v>906950</v>
      </c>
      <c r="R155" s="36"/>
    </row>
    <row r="156" spans="2:18">
      <c r="M156" s="163"/>
      <c r="N156" s="163"/>
      <c r="O156" s="163"/>
      <c r="P156" s="163"/>
      <c r="Q156" s="163"/>
      <c r="R156" s="36"/>
    </row>
    <row r="157" spans="2:18" ht="15">
      <c r="L157" t="s">
        <v>399</v>
      </c>
      <c r="M157" s="173">
        <f>SUM(M155:Q155)</f>
        <v>18565677.71962788</v>
      </c>
      <c r="N157" s="163"/>
      <c r="O157" s="163"/>
      <c r="P157" s="163"/>
      <c r="Q157" s="163"/>
      <c r="R157" s="36"/>
    </row>
    <row r="158" spans="2:18" ht="15">
      <c r="B158" s="14" t="s">
        <v>157</v>
      </c>
      <c r="C158" s="14" t="s">
        <v>400</v>
      </c>
      <c r="D158" s="98" t="s">
        <v>393</v>
      </c>
      <c r="N158" s="36"/>
      <c r="O158" s="36"/>
      <c r="P158" s="36"/>
      <c r="Q158" s="36"/>
      <c r="R158" s="36"/>
    </row>
    <row r="159" spans="2:18">
      <c r="B159" t="s">
        <v>401</v>
      </c>
      <c r="C159" s="90" t="s">
        <v>163</v>
      </c>
      <c r="D159" s="175">
        <f t="shared" ref="D159:D166" si="224">SUMIF(D$9:D$143,C159,R$9:R$143)</f>
        <v>1779500</v>
      </c>
      <c r="N159" s="36"/>
      <c r="O159" s="36"/>
      <c r="P159" s="36"/>
      <c r="Q159" s="36"/>
      <c r="R159" s="36"/>
    </row>
    <row r="160" spans="2:18">
      <c r="B160" t="s">
        <v>164</v>
      </c>
      <c r="C160" s="90" t="s">
        <v>165</v>
      </c>
      <c r="D160" s="175">
        <f t="shared" si="224"/>
        <v>1315750</v>
      </c>
      <c r="F160" s="1"/>
      <c r="R160" s="36"/>
    </row>
    <row r="161" spans="2:7">
      <c r="B161" t="s">
        <v>160</v>
      </c>
      <c r="C161" s="90" t="s">
        <v>161</v>
      </c>
      <c r="D161" s="175">
        <f t="shared" si="224"/>
        <v>902000</v>
      </c>
    </row>
    <row r="162" spans="2:7">
      <c r="B162" t="s">
        <v>160</v>
      </c>
      <c r="C162" t="s">
        <v>166</v>
      </c>
      <c r="D162" s="175">
        <f t="shared" si="224"/>
        <v>2782447.5</v>
      </c>
    </row>
    <row r="163" spans="2:7">
      <c r="B163" t="s">
        <v>160</v>
      </c>
      <c r="C163" s="110" t="s">
        <v>167</v>
      </c>
      <c r="D163" s="175">
        <f t="shared" si="224"/>
        <v>10350756.303338801</v>
      </c>
    </row>
    <row r="164" spans="2:7" ht="28.5">
      <c r="B164" t="s">
        <v>160</v>
      </c>
      <c r="C164" s="110" t="s">
        <v>168</v>
      </c>
      <c r="D164" s="175">
        <f t="shared" si="224"/>
        <v>168950</v>
      </c>
    </row>
    <row r="165" spans="2:7">
      <c r="B165" t="s">
        <v>160</v>
      </c>
      <c r="C165" s="90" t="s">
        <v>169</v>
      </c>
      <c r="D165" s="175">
        <f t="shared" si="224"/>
        <v>315600</v>
      </c>
    </row>
    <row r="166" spans="2:7" ht="28.5">
      <c r="B166" t="s">
        <v>160</v>
      </c>
      <c r="C166" s="15" t="s">
        <v>170</v>
      </c>
      <c r="D166" s="175">
        <f t="shared" si="224"/>
        <v>950673.91628907819</v>
      </c>
    </row>
    <row r="169" spans="2:7" ht="15">
      <c r="B169" s="14" t="s">
        <v>402</v>
      </c>
      <c r="C169" s="14" t="s">
        <v>403</v>
      </c>
      <c r="D169" s="14" t="s">
        <v>404</v>
      </c>
      <c r="E169" s="98" t="s">
        <v>397</v>
      </c>
      <c r="F169" s="14" t="s">
        <v>398</v>
      </c>
      <c r="G169" s="14" t="s">
        <v>405</v>
      </c>
    </row>
    <row r="170" spans="2:7">
      <c r="B170" s="15" t="str">
        <f>B9</f>
        <v>Activity 1.1.1 Transport and mobility</v>
      </c>
      <c r="C170" t="s">
        <v>372</v>
      </c>
      <c r="D170" s="175">
        <f t="shared" ref="D170:D185" si="225">SUMIFS(R$9:R$143,T$9:T$143,C170,D$9:D$143,C$159)+SUMIFS(R$9:R$143,T$9:T$143,C170,D$9:D$143,C$160)+SUMIFS(R$9:R$143,T$9:T$143,C170,D$9:D$143,C$165)+SUMIFS(R$9:R$143,T$9:T$143,C170,D$9:D$143,C$166)</f>
        <v>615658.07303532795</v>
      </c>
      <c r="E170" s="197">
        <f t="shared" ref="E170:E185" si="226">SUMIFS(R$9:R$143,T$9:T$143,C170,D$9:D$143,C$163)+SUMIFS(R$9:R$143,T$9:T$143,C170,D$9:D$143,C$162)</f>
        <v>4382634.5505888006</v>
      </c>
      <c r="F170" s="197">
        <f t="shared" ref="F170:F185" si="227">SUMIFS(R$9:R$143,T$9:T$143,C170,D$9:D$143,C$161)+SUMIFS(R$9:R$143,T$9:T$143,C170,D$9:D$143,C$164)</f>
        <v>0</v>
      </c>
      <c r="G170" s="142"/>
    </row>
    <row r="171" spans="2:7" ht="28.5">
      <c r="B171" s="15" t="str">
        <f>B25</f>
        <v>Activity 1.1.2 Stormwater management</v>
      </c>
      <c r="C171" t="s">
        <v>373</v>
      </c>
      <c r="D171" s="175">
        <f t="shared" si="225"/>
        <v>404110.42755374999</v>
      </c>
      <c r="E171" s="197">
        <f t="shared" si="226"/>
        <v>1334006.5777500002</v>
      </c>
      <c r="F171" s="197">
        <f t="shared" si="227"/>
        <v>15000</v>
      </c>
      <c r="G171" s="142"/>
    </row>
    <row r="172" spans="2:7">
      <c r="B172" s="15" t="str">
        <f>B43</f>
        <v>Activity 1.1.3 Water supply</v>
      </c>
      <c r="C172" t="s">
        <v>374</v>
      </c>
      <c r="D172" s="175">
        <f t="shared" si="225"/>
        <v>243518.2175</v>
      </c>
      <c r="E172" s="197">
        <f t="shared" si="226"/>
        <v>532182.17500000005</v>
      </c>
      <c r="F172" s="197">
        <f t="shared" si="227"/>
        <v>24000</v>
      </c>
      <c r="G172" s="142"/>
    </row>
    <row r="173" spans="2:7">
      <c r="B173" s="15" t="str">
        <f>B54</f>
        <v>Activity 1.1.4 Sanitation</v>
      </c>
      <c r="C173" t="s">
        <v>375</v>
      </c>
      <c r="D173" s="175">
        <f t="shared" si="225"/>
        <v>79220</v>
      </c>
      <c r="E173" s="197">
        <f t="shared" si="226"/>
        <v>88000</v>
      </c>
      <c r="F173" s="197">
        <f t="shared" si="227"/>
        <v>23250</v>
      </c>
      <c r="G173" s="142"/>
    </row>
    <row r="174" spans="2:7">
      <c r="B174" s="15" t="str">
        <f>B60</f>
        <v>Activity 1.1.5 Energy</v>
      </c>
      <c r="C174" t="s">
        <v>376</v>
      </c>
      <c r="D174" s="175">
        <f t="shared" si="225"/>
        <v>536527.14120000007</v>
      </c>
      <c r="E174" s="197">
        <f t="shared" si="226"/>
        <v>6052988.7000000011</v>
      </c>
      <c r="F174" s="197">
        <f t="shared" si="227"/>
        <v>6300</v>
      </c>
      <c r="G174" s="142"/>
    </row>
    <row r="175" spans="2:7">
      <c r="B175" s="15" t="str">
        <f>B69</f>
        <v>Activity 1.1.6 Solid waste</v>
      </c>
      <c r="C175" t="s">
        <v>377</v>
      </c>
      <c r="D175" s="175">
        <f t="shared" si="225"/>
        <v>171362.98749999999</v>
      </c>
      <c r="E175" s="197">
        <f t="shared" si="226"/>
        <v>130982.50000000001</v>
      </c>
      <c r="F175" s="197">
        <f t="shared" si="227"/>
        <v>6500</v>
      </c>
      <c r="G175" s="142"/>
    </row>
    <row r="176" spans="2:7">
      <c r="B176" s="15" t="str">
        <f>B80</f>
        <v>Activity 1.1.7 Community buildings</v>
      </c>
      <c r="C176" t="s">
        <v>379</v>
      </c>
      <c r="D176" s="175">
        <f t="shared" si="225"/>
        <v>344777.06949999998</v>
      </c>
      <c r="E176" s="197">
        <f t="shared" si="226"/>
        <v>582409.30000000005</v>
      </c>
      <c r="F176" s="197">
        <f t="shared" si="227"/>
        <v>0</v>
      </c>
      <c r="G176" s="142"/>
    </row>
    <row r="177" spans="2:11" ht="28.5">
      <c r="B177" s="15" t="str">
        <f>B95</f>
        <v>Activity 1.2.1 Community ownership, gender equality and sustainability</v>
      </c>
      <c r="C177" t="s">
        <v>381</v>
      </c>
      <c r="D177" s="175">
        <f t="shared" si="225"/>
        <v>428000</v>
      </c>
      <c r="E177" s="197">
        <f t="shared" si="226"/>
        <v>0</v>
      </c>
      <c r="F177" s="197">
        <f t="shared" si="227"/>
        <v>32200</v>
      </c>
      <c r="G177" s="142"/>
    </row>
    <row r="178" spans="2:11" ht="57">
      <c r="B178" s="15" t="str">
        <f>B102</f>
        <v>Activity 1.2.2 TVET operationalised to serve as a learning and innovation centre for climate responsive upgrades</v>
      </c>
      <c r="C178" t="s">
        <v>382</v>
      </c>
      <c r="D178" s="175">
        <f t="shared" si="225"/>
        <v>381200</v>
      </c>
      <c r="E178" s="197">
        <f t="shared" si="226"/>
        <v>0</v>
      </c>
      <c r="F178" s="197">
        <f t="shared" si="227"/>
        <v>77500</v>
      </c>
      <c r="G178" s="142"/>
    </row>
    <row r="179" spans="2:11" ht="42.75">
      <c r="B179" s="15" t="str">
        <f>B112</f>
        <v>Activity 1.2.3 Awareness raising and citizen engagement in climate responsive regeneration</v>
      </c>
      <c r="C179" t="s">
        <v>383</v>
      </c>
      <c r="D179" s="175">
        <f t="shared" si="225"/>
        <v>97500</v>
      </c>
      <c r="E179" s="197">
        <f t="shared" si="226"/>
        <v>0</v>
      </c>
      <c r="F179" s="197">
        <f t="shared" si="227"/>
        <v>20000</v>
      </c>
      <c r="G179" s="142"/>
    </row>
    <row r="180" spans="2:11" ht="28.5">
      <c r="B180" s="15" t="str">
        <f>B115</f>
        <v>Activity 2.1.1 Institutional capacity development of GoR agencies</v>
      </c>
      <c r="C180" t="s">
        <v>384</v>
      </c>
      <c r="D180" s="175">
        <f t="shared" si="225"/>
        <v>105000</v>
      </c>
      <c r="E180" s="197">
        <f t="shared" si="226"/>
        <v>0</v>
      </c>
      <c r="F180" s="197">
        <f t="shared" si="227"/>
        <v>3200</v>
      </c>
      <c r="G180" s="142"/>
    </row>
    <row r="181" spans="2:11" ht="28.5">
      <c r="B181" s="15" t="str">
        <f>B118</f>
        <v>Activity 2.1.2 Blueprinting the GCK and Planning code for GoR</v>
      </c>
      <c r="C181" t="s">
        <v>385</v>
      </c>
      <c r="D181" s="175">
        <f t="shared" si="225"/>
        <v>212900</v>
      </c>
      <c r="E181" s="197">
        <f t="shared" si="226"/>
        <v>0</v>
      </c>
      <c r="F181" s="197">
        <f t="shared" si="227"/>
        <v>1500</v>
      </c>
      <c r="G181" s="142"/>
    </row>
    <row r="182" spans="2:11" ht="28.5">
      <c r="B182" s="15" t="str">
        <f>B124</f>
        <v>Activity 2.1.3 Development of recycling value chains</v>
      </c>
      <c r="C182" t="s">
        <v>386</v>
      </c>
      <c r="D182" s="175">
        <f t="shared" si="225"/>
        <v>154500</v>
      </c>
      <c r="E182" s="197">
        <f t="shared" si="226"/>
        <v>0</v>
      </c>
      <c r="F182" s="197">
        <f t="shared" si="227"/>
        <v>2000</v>
      </c>
      <c r="G182" s="142"/>
    </row>
    <row r="183" spans="2:11" ht="85.5">
      <c r="B183" s="15" t="str">
        <f>B128</f>
        <v>Activity 2.2.1  Policy support for an enabling environment and mainstreaming green city development standards and approaches into regulatory and planning frameworks</v>
      </c>
      <c r="C183" t="s">
        <v>388</v>
      </c>
      <c r="D183" s="175">
        <f t="shared" si="225"/>
        <v>166000</v>
      </c>
      <c r="E183" s="197">
        <f t="shared" si="226"/>
        <v>0</v>
      </c>
      <c r="F183" s="197">
        <f t="shared" si="227"/>
        <v>0</v>
      </c>
      <c r="G183" s="142"/>
    </row>
    <row r="184" spans="2:11" ht="42.75">
      <c r="B184" s="15" t="str">
        <f>B130</f>
        <v>Activity 2.2.2  Knowledge management system developed on climate responsive regeneration</v>
      </c>
      <c r="C184" t="s">
        <v>389</v>
      </c>
      <c r="D184" s="175">
        <f t="shared" si="225"/>
        <v>199500</v>
      </c>
      <c r="E184" s="197">
        <f t="shared" si="226"/>
        <v>0</v>
      </c>
      <c r="F184" s="197">
        <f t="shared" si="227"/>
        <v>0</v>
      </c>
      <c r="G184" s="142"/>
    </row>
    <row r="185" spans="2:11">
      <c r="B185" t="str">
        <f>B133</f>
        <v>Project Management Component</v>
      </c>
      <c r="C185" t="s">
        <v>390</v>
      </c>
      <c r="D185" s="175">
        <f t="shared" si="225"/>
        <v>221750</v>
      </c>
      <c r="E185" s="197">
        <f t="shared" si="226"/>
        <v>30000</v>
      </c>
      <c r="F185" s="197">
        <f t="shared" si="227"/>
        <v>859500</v>
      </c>
      <c r="G185" s="142"/>
    </row>
    <row r="186" spans="2:11">
      <c r="D186" s="255"/>
      <c r="E186" s="99"/>
      <c r="F186" s="99"/>
    </row>
    <row r="187" spans="2:11" ht="15">
      <c r="C187" s="174" t="s">
        <v>393</v>
      </c>
      <c r="D187" s="257">
        <f>SUM(D170:D185)</f>
        <v>4361523.9162890781</v>
      </c>
      <c r="E187" s="257">
        <f>SUM(E170:E185)</f>
        <v>13133203.803338803</v>
      </c>
      <c r="F187" s="257">
        <f>SUM(F170:F185)</f>
        <v>1070950</v>
      </c>
    </row>
    <row r="188" spans="2:11">
      <c r="D188" s="255"/>
      <c r="E188" s="100"/>
      <c r="F188" s="99"/>
    </row>
    <row r="189" spans="2:11" ht="15">
      <c r="C189" s="174" t="s">
        <v>399</v>
      </c>
      <c r="D189" s="257">
        <f>SUM(D187:F187)</f>
        <v>18565677.71962788</v>
      </c>
      <c r="E189" s="99"/>
      <c r="F189" s="99"/>
    </row>
    <row r="191" spans="2:11" ht="15">
      <c r="B191" s="78" t="s">
        <v>406</v>
      </c>
      <c r="D191"/>
    </row>
    <row r="192" spans="2:11" ht="29.25">
      <c r="C192" t="s">
        <v>407</v>
      </c>
      <c r="D192" s="15" t="s">
        <v>408</v>
      </c>
      <c r="E192" s="15" t="s">
        <v>409</v>
      </c>
      <c r="F192" s="15" t="s">
        <v>410</v>
      </c>
      <c r="G192" s="15" t="s">
        <v>411</v>
      </c>
      <c r="H192" s="15" t="s">
        <v>412</v>
      </c>
      <c r="I192" s="15" t="s">
        <v>413</v>
      </c>
      <c r="K192" s="14" t="s">
        <v>414</v>
      </c>
    </row>
    <row r="193" spans="2:17">
      <c r="B193" s="150" t="str">
        <f>E66</f>
        <v>Solar water heaters for pilot homes</v>
      </c>
      <c r="C193" s="179">
        <v>25</v>
      </c>
      <c r="D193" s="182">
        <f>Timeline!$E$32/'Improvement timeline'!C193-1</f>
        <v>0.48</v>
      </c>
      <c r="E193" s="183">
        <f>'Improvement timeline'!G66</f>
        <v>1197.9000000000001</v>
      </c>
      <c r="F193" s="185">
        <f>(E193*D193)/Timeline!$E$32</f>
        <v>15.540324324324326</v>
      </c>
      <c r="G193" s="201">
        <f>SUM(H66:L66)</f>
        <v>1530</v>
      </c>
      <c r="H193" s="185">
        <f>F193*G193</f>
        <v>23776.69621621622</v>
      </c>
      <c r="I193" s="95" t="str">
        <f t="shared" ref="I193:I197" si="228">INDEX($T$9:$T$143,MATCH(B193,$E$9:$E$143,0))</f>
        <v>1.1.5</v>
      </c>
      <c r="K193" s="40" t="s">
        <v>415</v>
      </c>
      <c r="L193" s="217"/>
      <c r="M193" s="217"/>
      <c r="N193" s="217"/>
      <c r="O193" s="217"/>
      <c r="P193" s="221"/>
      <c r="Q193" s="218"/>
    </row>
    <row r="194" spans="2:17">
      <c r="B194" s="150" t="str">
        <f>E67</f>
        <v xml:space="preserve">Solar PV for pilot homes </v>
      </c>
      <c r="C194" s="180">
        <v>25</v>
      </c>
      <c r="D194" s="182">
        <f>Timeline!$E$32/'Improvement timeline'!C194-1</f>
        <v>0.48</v>
      </c>
      <c r="E194" s="183">
        <f>'Improvement timeline'!G67</f>
        <v>586.85</v>
      </c>
      <c r="F194" s="185">
        <f>(E194*D194)/Timeline!$E$32</f>
        <v>7.613189189189189</v>
      </c>
      <c r="G194" s="201">
        <f>SUM(H67:L67)</f>
        <v>1530</v>
      </c>
      <c r="H194" s="185">
        <f>F194*G194</f>
        <v>11648.179459459459</v>
      </c>
      <c r="I194" s="95" t="str">
        <f t="shared" si="228"/>
        <v>1.1.5</v>
      </c>
      <c r="K194" s="40" t="s">
        <v>415</v>
      </c>
      <c r="L194" s="217"/>
      <c r="M194" s="217"/>
      <c r="N194" s="217"/>
      <c r="O194" s="217"/>
      <c r="P194" s="221"/>
      <c r="Q194" s="218"/>
    </row>
    <row r="195" spans="2:17" ht="28.5">
      <c r="B195" s="150" t="str">
        <f>E88</f>
        <v>General TVET equipment ( hand held tools, fixtures, moulds etc)</v>
      </c>
      <c r="C195" s="181">
        <v>25</v>
      </c>
      <c r="D195" s="182">
        <f>Timeline!$E$32/'Improvement timeline'!C195-1</f>
        <v>0.48</v>
      </c>
      <c r="E195" s="184">
        <f>'Improvement timeline'!G88</f>
        <v>21780</v>
      </c>
      <c r="F195" s="185">
        <f>(E195*D195)/Timeline!$E$32</f>
        <v>282.55135135135134</v>
      </c>
      <c r="G195" s="186">
        <f>SUM(H88:L88)</f>
        <v>1</v>
      </c>
      <c r="H195" s="185">
        <f>F195*G195</f>
        <v>282.55135135135134</v>
      </c>
      <c r="I195" s="95" t="str">
        <f t="shared" si="228"/>
        <v>1.1.7</v>
      </c>
      <c r="K195" s="40" t="s">
        <v>415</v>
      </c>
      <c r="L195" s="220"/>
      <c r="M195" s="220"/>
      <c r="N195" s="220"/>
      <c r="O195" s="220"/>
      <c r="P195" s="221"/>
      <c r="Q195" s="218"/>
    </row>
    <row r="196" spans="2:17" ht="57">
      <c r="B196" s="150" t="str">
        <f>E65</f>
        <v>Solar powered street lights. 15 meter centres on collector &amp; access roads. Assumed details from similar projects (including distribution wiring)</v>
      </c>
      <c r="C196" s="181">
        <v>10</v>
      </c>
      <c r="D196" s="182">
        <f>Timeline!$E$32/'Improvement timeline'!C196-1</f>
        <v>2.7</v>
      </c>
      <c r="E196" s="184">
        <f>Assumptions!E52</f>
        <v>600</v>
      </c>
      <c r="F196" s="185">
        <f>(E196*D196)/Timeline!$E$32</f>
        <v>43.783783783783782</v>
      </c>
      <c r="G196" s="201">
        <f>SUM(H65:L65)</f>
        <v>526</v>
      </c>
      <c r="H196" s="185">
        <f>F196*G196</f>
        <v>23030.27027027027</v>
      </c>
      <c r="I196" s="95" t="str">
        <f t="shared" si="228"/>
        <v>1.1.5</v>
      </c>
      <c r="K196" s="221" t="s">
        <v>416</v>
      </c>
      <c r="L196" s="217"/>
      <c r="M196" s="217"/>
      <c r="N196" s="217"/>
      <c r="O196" s="217"/>
      <c r="P196" s="221"/>
      <c r="Q196" s="218"/>
    </row>
    <row r="197" spans="2:17" ht="27.6" customHeight="1">
      <c r="B197" s="150" t="str">
        <f>E130</f>
        <v>IT costs - costs to design the system and update it</v>
      </c>
      <c r="C197" s="181">
        <v>10</v>
      </c>
      <c r="D197" s="182">
        <f>Timeline!$E$32/'Improvement timeline'!C197-1</f>
        <v>2.7</v>
      </c>
      <c r="E197" s="184">
        <f>'Improvement timeline'!G130</f>
        <v>15000</v>
      </c>
      <c r="F197" s="185">
        <f>(E197*D197)/Timeline!$E$32</f>
        <v>1094.5945945945946</v>
      </c>
      <c r="G197" s="186">
        <f>SUM(H130:L130)</f>
        <v>1.5999999999999999</v>
      </c>
      <c r="H197" s="185">
        <f t="shared" ref="H197" si="229">F197*G197</f>
        <v>1751.3513513513512</v>
      </c>
      <c r="I197" s="95" t="str">
        <f t="shared" si="228"/>
        <v>2.2.2</v>
      </c>
      <c r="K197" s="40" t="s">
        <v>415</v>
      </c>
      <c r="L197" s="215"/>
      <c r="M197" s="215"/>
      <c r="N197" s="215"/>
      <c r="O197" s="215"/>
      <c r="P197" s="222"/>
      <c r="Q197" s="216"/>
    </row>
    <row r="198" spans="2:17" ht="15">
      <c r="B198" s="14" t="s">
        <v>417</v>
      </c>
      <c r="D198"/>
      <c r="H198" s="96">
        <f>SUM(H193:H197)</f>
        <v>60489.048648648655</v>
      </c>
    </row>
    <row r="199" spans="2:17">
      <c r="D199"/>
    </row>
    <row r="200" spans="2:17">
      <c r="D200"/>
    </row>
    <row r="201" spans="2:17">
      <c r="D201"/>
    </row>
    <row r="202" spans="2:17">
      <c r="D202"/>
    </row>
  </sheetData>
  <autoFilter ref="C8:R143" xr:uid="{9C24F76D-2F08-4C20-B52D-83F2FB21A395}"/>
  <mergeCells count="17">
    <mergeCell ref="B102:B111"/>
    <mergeCell ref="B9:B24"/>
    <mergeCell ref="H6:L6"/>
    <mergeCell ref="M6:Q6"/>
    <mergeCell ref="B25:B42"/>
    <mergeCell ref="B43:B53"/>
    <mergeCell ref="B54:B59"/>
    <mergeCell ref="B60:B68"/>
    <mergeCell ref="B69:B79"/>
    <mergeCell ref="B80:B94"/>
    <mergeCell ref="B95:B101"/>
    <mergeCell ref="B128:B129"/>
    <mergeCell ref="B130:B132"/>
    <mergeCell ref="B112:B113"/>
    <mergeCell ref="B115:B117"/>
    <mergeCell ref="B118:B123"/>
    <mergeCell ref="B124:B12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SharedWithUsers xmlns="a3cd7b71-671d-4139-9a97-5d1a7380fae4">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E4B05B-D663-4C89-A615-BFA2EE4E8AD9}">
  <ds:schemaRefs>
    <ds:schemaRef ds:uri="http://purl.org/dc/terms/"/>
    <ds:schemaRef ds:uri="http://schemas.microsoft.com/office/2006/documentManagement/types"/>
    <ds:schemaRef ds:uri="ee94724e-90e4-449c-b519-34acd16188fc"/>
    <ds:schemaRef ds:uri="http://purl.org/dc/elements/1.1/"/>
    <ds:schemaRef ds:uri="b0d07b24-af0f-4379-8500-7ec888077f8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0BAD93EA-B7DC-435B-BA3F-0B2576006DC3}"/>
</file>

<file path=customXml/itemProps3.xml><?xml version="1.0" encoding="utf-8"?>
<ds:datastoreItem xmlns:ds="http://schemas.openxmlformats.org/officeDocument/2006/customXml" ds:itemID="{8E630864-A9DD-45B3-9BD7-4F88126288A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Disclaimer</vt:lpstr>
      <vt:lpstr>Log</vt:lpstr>
      <vt:lpstr>Map</vt:lpstr>
      <vt:lpstr>Dashboard</vt:lpstr>
      <vt:lpstr>Assumptions</vt:lpstr>
      <vt:lpstr>Timeline</vt:lpstr>
      <vt:lpstr>Financing</vt:lpstr>
      <vt:lpstr>Annex 4</vt:lpstr>
      <vt:lpstr>Improvement timeline</vt:lpstr>
      <vt:lpstr>Summary</vt:lpstr>
      <vt:lpstr>Cashflow</vt:lpstr>
      <vt:lpstr>Solar street lighting</vt:lpstr>
      <vt:lpstr>Sensitivity Analysis</vt:lpstr>
      <vt:lpstr>Dropdowns</vt:lpstr>
      <vt:lpstr>BoQ</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May, Matthew</dc:creator>
  <cp:keywords/>
  <dc:description/>
  <cp:lastModifiedBy>Taintor, Sophie</cp:lastModifiedBy>
  <cp:revision/>
  <dcterms:created xsi:type="dcterms:W3CDTF">2021-09-16T11:47:01Z</dcterms:created>
  <dcterms:modified xsi:type="dcterms:W3CDTF">2022-12-23T10:02:37Z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f08ec5-d6d9-4227-8387-ccbfcb3632c4_Enabled">
    <vt:lpwstr>true</vt:lpwstr>
  </property>
  <property fmtid="{D5CDD505-2E9C-101B-9397-08002B2CF9AE}" pid="3" name="MSIP_Label_43f08ec5-d6d9-4227-8387-ccbfcb3632c4_SetDate">
    <vt:lpwstr>2021-09-16T11:47:02Z</vt:lpwstr>
  </property>
  <property fmtid="{D5CDD505-2E9C-101B-9397-08002B2CF9AE}" pid="4" name="MSIP_Label_43f08ec5-d6d9-4227-8387-ccbfcb3632c4_Method">
    <vt:lpwstr>Standard</vt:lpwstr>
  </property>
  <property fmtid="{D5CDD505-2E9C-101B-9397-08002B2CF9AE}" pid="5" name="MSIP_Label_43f08ec5-d6d9-4227-8387-ccbfcb3632c4_Name">
    <vt:lpwstr>Sweco Restricted</vt:lpwstr>
  </property>
  <property fmtid="{D5CDD505-2E9C-101B-9397-08002B2CF9AE}" pid="6" name="MSIP_Label_43f08ec5-d6d9-4227-8387-ccbfcb3632c4_SiteId">
    <vt:lpwstr>b7872ef0-9a00-4c18-8a4a-c7d25c778a9e</vt:lpwstr>
  </property>
  <property fmtid="{D5CDD505-2E9C-101B-9397-08002B2CF9AE}" pid="7" name="MSIP_Label_43f08ec5-d6d9-4227-8387-ccbfcb3632c4_ActionId">
    <vt:lpwstr>c1ed9a94-fbad-4da6-a134-f2e1f67f1f2d</vt:lpwstr>
  </property>
  <property fmtid="{D5CDD505-2E9C-101B-9397-08002B2CF9AE}" pid="8" name="MSIP_Label_43f08ec5-d6d9-4227-8387-ccbfcb3632c4_ContentBits">
    <vt:lpwstr>0</vt:lpwstr>
  </property>
  <property fmtid="{D5CDD505-2E9C-101B-9397-08002B2CF9AE}" pid="9" name="ContentTypeId">
    <vt:lpwstr>0x01010000979F12F22C9E4F9273E32F354CEDB7</vt:lpwstr>
  </property>
  <property fmtid="{D5CDD505-2E9C-101B-9397-08002B2CF9AE}" pid="10" name="Etag">
    <vt:lpwstr>0x8DC9CE7D6591485</vt:lpwstr>
  </property>
  <property fmtid="{D5CDD505-2E9C-101B-9397-08002B2CF9AE}" pid="11" name="Order">
    <vt:r8>78640900</vt:r8>
  </property>
  <property fmtid="{D5CDD505-2E9C-101B-9397-08002B2CF9AE}" pid="12" name="xd_Signature">
    <vt:bool>false</vt:bool>
  </property>
  <property fmtid="{D5CDD505-2E9C-101B-9397-08002B2CF9AE}" pid="13" name="blobFile">
    <vt:lpwstr>8588f916-4ea5-44b8-bf74-0d34fedd94c5/c2f7a857-cfbb-4bd6-997a-2e8d62f1c0e5.xlsx</vt:lpwstr>
  </property>
  <property fmtid="{D5CDD505-2E9C-101B-9397-08002B2CF9AE}" pid="14" name="xd_ProgID">
    <vt:lpwstr/>
  </property>
  <property fmtid="{D5CDD505-2E9C-101B-9397-08002B2CF9AE}" pid="15" name="_SourceUrl">
    <vt:lpwstr/>
  </property>
  <property fmtid="{D5CDD505-2E9C-101B-9397-08002B2CF9AE}" pid="16" name="_SharedFileIndex">
    <vt:lpwstr/>
  </property>
  <property fmtid="{D5CDD505-2E9C-101B-9397-08002B2CF9AE}" pid="17" name="TemplateUrl">
    <vt:lpwstr/>
  </property>
  <property fmtid="{D5CDD505-2E9C-101B-9397-08002B2CF9AE}" pid="18" name="ComplianceAssetId">
    <vt:lpwstr/>
  </property>
  <property fmtid="{D5CDD505-2E9C-101B-9397-08002B2CF9AE}" pid="19" name="DocumentType">
    <vt:lpwstr>Econ. &amp; Fin. Analysis</vt:lpwstr>
  </property>
  <property fmtid="{D5CDD505-2E9C-101B-9397-08002B2CF9AE}" pid="20" name="_ExtendedDescription">
    <vt:lpwstr/>
  </property>
  <property fmtid="{D5CDD505-2E9C-101B-9397-08002B2CF9AE}" pid="21" name="TriggerFlowInfo">
    <vt:lpwstr/>
  </property>
  <property fmtid="{D5CDD505-2E9C-101B-9397-08002B2CF9AE}" pid="22" name="MediaServiceImageTags">
    <vt:lpwstr/>
  </property>
</Properties>
</file>