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d.terzano\Documents\Dilva\GCF Pipeline\GCF Vietnam (RECAF)\RECAF - PRTP review\RECAF - PRTP round 2 review (up to 30 June 2024)\Submission 1 July\"/>
    </mc:Choice>
  </mc:AlternateContent>
  <xr:revisionPtr revIDLastSave="0" documentId="13_ncr:1_{8FF893A2-F8E4-47F0-B176-03E48AE32338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Database of targeting districts" sheetId="1" r:id="rId1"/>
    <sheet name="Beneficiary calculations" sheetId="2" r:id="rId2"/>
    <sheet name="% direct vs indirect benef" sheetId="3" r:id="rId3"/>
    <sheet name="VN RECAF " sheetId="4" r:id="rId4"/>
  </sheet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0" i="2" l="1"/>
  <c r="T9" i="2"/>
  <c r="T8" i="2"/>
  <c r="T7" i="2"/>
  <c r="T6" i="2"/>
  <c r="T5" i="2"/>
  <c r="S7" i="2"/>
  <c r="S10" i="2"/>
  <c r="J5" i="2"/>
  <c r="J6" i="2"/>
  <c r="J7" i="2"/>
  <c r="J8" i="2"/>
  <c r="J9" i="2"/>
  <c r="J10" i="2"/>
  <c r="N10" i="2"/>
  <c r="P10" i="2"/>
  <c r="O10" i="2"/>
  <c r="N9" i="2"/>
  <c r="P9" i="2"/>
  <c r="O9" i="2"/>
  <c r="N8" i="2"/>
  <c r="P8" i="2"/>
  <c r="O8" i="2"/>
  <c r="N7" i="2"/>
  <c r="P7" i="2"/>
  <c r="O7" i="2"/>
  <c r="N6" i="2"/>
  <c r="P6" i="2"/>
  <c r="O6" i="2"/>
  <c r="N5" i="2"/>
  <c r="P5" i="2"/>
  <c r="O5" i="2"/>
  <c r="Q10" i="2"/>
  <c r="Q9" i="2"/>
  <c r="Q8" i="2"/>
  <c r="Q7" i="2"/>
  <c r="Q6" i="2"/>
  <c r="Q5" i="2"/>
  <c r="H9" i="2"/>
  <c r="H8" i="2"/>
  <c r="H7" i="2"/>
  <c r="H6" i="2"/>
  <c r="H5" i="2"/>
  <c r="H10" i="2"/>
  <c r="M10" i="2"/>
  <c r="M9" i="2"/>
  <c r="M8" i="2"/>
  <c r="M7" i="2"/>
  <c r="M6" i="2"/>
  <c r="M5" i="2"/>
  <c r="L10" i="2"/>
  <c r="K10" i="2"/>
  <c r="L9" i="2"/>
  <c r="K9" i="2"/>
  <c r="L8" i="2"/>
  <c r="K8" i="2"/>
  <c r="L7" i="2"/>
  <c r="K7" i="2"/>
  <c r="L6" i="2"/>
  <c r="K6" i="2"/>
  <c r="L5" i="2"/>
  <c r="K5" i="2"/>
  <c r="D5" i="2"/>
  <c r="F5" i="2"/>
  <c r="D6" i="2"/>
  <c r="F6" i="2"/>
  <c r="D7" i="2"/>
  <c r="F7" i="2"/>
  <c r="D8" i="2"/>
  <c r="F8" i="2"/>
  <c r="D9" i="2"/>
  <c r="F9" i="2"/>
  <c r="F10" i="2"/>
  <c r="D10" i="2"/>
  <c r="B10" i="2"/>
  <c r="D8" i="3"/>
  <c r="C8" i="3"/>
  <c r="D74" i="4"/>
  <c r="K72" i="4"/>
  <c r="I69" i="4"/>
  <c r="D68" i="4"/>
  <c r="M64" i="4"/>
  <c r="M63" i="4"/>
  <c r="L63" i="4"/>
  <c r="I63" i="4"/>
  <c r="H63" i="4"/>
  <c r="D57" i="4"/>
  <c r="D71" i="4"/>
  <c r="D56" i="4"/>
  <c r="D70" i="4"/>
  <c r="H47" i="4"/>
  <c r="H75" i="4"/>
  <c r="L46" i="4"/>
  <c r="L74" i="4"/>
  <c r="K46" i="4"/>
  <c r="K74" i="4"/>
  <c r="J46" i="4"/>
  <c r="J74" i="4"/>
  <c r="I46" i="4"/>
  <c r="I74" i="4"/>
  <c r="H46" i="4"/>
  <c r="H74" i="4"/>
  <c r="L45" i="4"/>
  <c r="L73" i="4"/>
  <c r="L44" i="4"/>
  <c r="L72" i="4"/>
  <c r="H44" i="4"/>
  <c r="H72" i="4"/>
  <c r="K43" i="4"/>
  <c r="K71" i="4"/>
  <c r="J43" i="4"/>
  <c r="J71" i="4"/>
  <c r="I43" i="4"/>
  <c r="I71" i="4"/>
  <c r="H43" i="4"/>
  <c r="H71" i="4"/>
  <c r="D43" i="4"/>
  <c r="L42" i="4"/>
  <c r="L70" i="4"/>
  <c r="D42" i="4"/>
  <c r="L41" i="4"/>
  <c r="L69" i="4"/>
  <c r="I41" i="4"/>
  <c r="H41" i="4"/>
  <c r="H69" i="4"/>
  <c r="L39" i="4"/>
  <c r="L67" i="4"/>
  <c r="G39" i="4"/>
  <c r="D39" i="4"/>
  <c r="D53" i="4"/>
  <c r="D67" i="4"/>
  <c r="L38" i="4"/>
  <c r="L36" i="4"/>
  <c r="L64" i="4"/>
  <c r="K36" i="4"/>
  <c r="K64" i="4"/>
  <c r="J36" i="4"/>
  <c r="J64" i="4"/>
  <c r="I36" i="4"/>
  <c r="I64" i="4"/>
  <c r="H36" i="4"/>
  <c r="H64" i="4"/>
  <c r="G36" i="4"/>
  <c r="G64" i="4"/>
  <c r="M35" i="4"/>
  <c r="L35" i="4"/>
  <c r="K35" i="4"/>
  <c r="K63" i="4"/>
  <c r="J35" i="4"/>
  <c r="J63" i="4"/>
  <c r="I35" i="4"/>
  <c r="H35" i="4"/>
  <c r="G35" i="4"/>
  <c r="G63" i="4"/>
  <c r="M33" i="4"/>
  <c r="D33" i="4"/>
  <c r="D47" i="4"/>
  <c r="D61" i="4"/>
  <c r="D75" i="4"/>
  <c r="M32" i="4"/>
  <c r="D32" i="4"/>
  <c r="D46" i="4"/>
  <c r="D60" i="4"/>
  <c r="M31" i="4"/>
  <c r="D31" i="4"/>
  <c r="D45" i="4"/>
  <c r="D59" i="4"/>
  <c r="D73" i="4"/>
  <c r="M30" i="4"/>
  <c r="D30" i="4"/>
  <c r="D44" i="4"/>
  <c r="D58" i="4"/>
  <c r="D72" i="4"/>
  <c r="M29" i="4"/>
  <c r="D29" i="4"/>
  <c r="M28" i="4"/>
  <c r="D28" i="4"/>
  <c r="M27" i="4"/>
  <c r="D27" i="4"/>
  <c r="D41" i="4"/>
  <c r="D55" i="4"/>
  <c r="D69" i="4"/>
  <c r="M26" i="4"/>
  <c r="D26" i="4"/>
  <c r="D40" i="4"/>
  <c r="D54" i="4"/>
  <c r="M25" i="4"/>
  <c r="D25" i="4"/>
  <c r="M24" i="4"/>
  <c r="D24" i="4"/>
  <c r="D38" i="4"/>
  <c r="D52" i="4"/>
  <c r="D66" i="4"/>
  <c r="G19" i="4"/>
  <c r="T18" i="4"/>
  <c r="Q18" i="4"/>
  <c r="M18" i="4"/>
  <c r="J18" i="4"/>
  <c r="H18" i="4"/>
  <c r="T17" i="4"/>
  <c r="Q17" i="4"/>
  <c r="M17" i="4"/>
  <c r="J17" i="4"/>
  <c r="H17" i="4"/>
  <c r="G46" i="4"/>
  <c r="G74" i="4"/>
  <c r="M74" i="4"/>
  <c r="T16" i="4"/>
  <c r="Q16" i="4"/>
  <c r="H16" i="4"/>
  <c r="T15" i="4"/>
  <c r="Q15" i="4"/>
  <c r="M15" i="4"/>
  <c r="H15" i="4"/>
  <c r="K44" i="4"/>
  <c r="T14" i="4"/>
  <c r="Q14" i="4"/>
  <c r="H14" i="4"/>
  <c r="G43" i="4"/>
  <c r="T13" i="4"/>
  <c r="Q13" i="4"/>
  <c r="M13" i="4"/>
  <c r="H13" i="4"/>
  <c r="T12" i="4"/>
  <c r="Q12" i="4"/>
  <c r="M12" i="4"/>
  <c r="H12" i="4"/>
  <c r="K41" i="4"/>
  <c r="K69" i="4"/>
  <c r="T11" i="4"/>
  <c r="Q11" i="4"/>
  <c r="H11" i="4"/>
  <c r="J40" i="4"/>
  <c r="J68" i="4"/>
  <c r="T10" i="4"/>
  <c r="Q10" i="4"/>
  <c r="H10" i="4"/>
  <c r="T9" i="4"/>
  <c r="Q9" i="4"/>
  <c r="H9" i="4"/>
  <c r="G67" i="4"/>
  <c r="H40" i="4"/>
  <c r="H68" i="4"/>
  <c r="K38" i="4"/>
  <c r="J38" i="4"/>
  <c r="I38" i="4"/>
  <c r="G38" i="4"/>
  <c r="H19" i="4"/>
  <c r="M9" i="4"/>
  <c r="J9" i="4"/>
  <c r="I40" i="4"/>
  <c r="I68" i="4"/>
  <c r="K47" i="4"/>
  <c r="K75" i="4"/>
  <c r="J47" i="4"/>
  <c r="J75" i="4"/>
  <c r="I47" i="4"/>
  <c r="I75" i="4"/>
  <c r="G47" i="4"/>
  <c r="L47" i="4"/>
  <c r="L75" i="4"/>
  <c r="L66" i="4"/>
  <c r="G40" i="4"/>
  <c r="L40" i="4"/>
  <c r="L68" i="4"/>
  <c r="J11" i="4"/>
  <c r="M46" i="4"/>
  <c r="M11" i="4"/>
  <c r="K40" i="4"/>
  <c r="K68" i="4"/>
  <c r="M10" i="4"/>
  <c r="K39" i="4"/>
  <c r="K67" i="4"/>
  <c r="J39" i="4"/>
  <c r="J67" i="4"/>
  <c r="I39" i="4"/>
  <c r="I67" i="4"/>
  <c r="H39" i="4"/>
  <c r="H67" i="4"/>
  <c r="J10" i="4"/>
  <c r="K42" i="4"/>
  <c r="K70" i="4"/>
  <c r="J42" i="4"/>
  <c r="J70" i="4"/>
  <c r="I42" i="4"/>
  <c r="I70" i="4"/>
  <c r="H42" i="4"/>
  <c r="H70" i="4"/>
  <c r="G42" i="4"/>
  <c r="K45" i="4"/>
  <c r="K73" i="4"/>
  <c r="J45" i="4"/>
  <c r="J73" i="4"/>
  <c r="I45" i="4"/>
  <c r="I73" i="4"/>
  <c r="H45" i="4"/>
  <c r="H73" i="4"/>
  <c r="M16" i="4"/>
  <c r="G45" i="4"/>
  <c r="G71" i="4"/>
  <c r="J13" i="4"/>
  <c r="J16" i="4"/>
  <c r="H38" i="4"/>
  <c r="L43" i="4"/>
  <c r="L71" i="4"/>
  <c r="J14" i="4"/>
  <c r="M14" i="4"/>
  <c r="J12" i="4"/>
  <c r="G41" i="4"/>
  <c r="G44" i="4"/>
  <c r="I44" i="4"/>
  <c r="I72" i="4"/>
  <c r="J15" i="4"/>
  <c r="J41" i="4"/>
  <c r="J69" i="4"/>
  <c r="J44" i="4"/>
  <c r="J72" i="4"/>
  <c r="M42" i="4"/>
  <c r="G70" i="4"/>
  <c r="M70" i="4"/>
  <c r="J19" i="4"/>
  <c r="H66" i="4"/>
  <c r="H77" i="4"/>
  <c r="H49" i="4"/>
  <c r="M19" i="4"/>
  <c r="M40" i="4"/>
  <c r="G68" i="4"/>
  <c r="M68" i="4"/>
  <c r="G66" i="4"/>
  <c r="G49" i="4"/>
  <c r="M38" i="4"/>
  <c r="M71" i="4"/>
  <c r="L77" i="4"/>
  <c r="I49" i="4"/>
  <c r="I66" i="4"/>
  <c r="I77" i="4"/>
  <c r="M45" i="4"/>
  <c r="G73" i="4"/>
  <c r="M73" i="4"/>
  <c r="L49" i="4"/>
  <c r="J49" i="4"/>
  <c r="J66" i="4"/>
  <c r="J77" i="4"/>
  <c r="K49" i="4"/>
  <c r="K66" i="4"/>
  <c r="K77" i="4"/>
  <c r="G72" i="4"/>
  <c r="M72" i="4"/>
  <c r="M44" i="4"/>
  <c r="G75" i="4"/>
  <c r="M75" i="4"/>
  <c r="M47" i="4"/>
  <c r="G69" i="4"/>
  <c r="M69" i="4"/>
  <c r="M41" i="4"/>
  <c r="M67" i="4"/>
  <c r="M39" i="4"/>
  <c r="M43" i="4"/>
  <c r="M49" i="4"/>
  <c r="G77" i="4"/>
  <c r="M66" i="4"/>
  <c r="M77" i="4"/>
  <c r="B8" i="3"/>
  <c r="C11" i="3"/>
  <c r="C12" i="3"/>
  <c r="S15" i="1"/>
  <c r="S14" i="1"/>
  <c r="S13" i="1"/>
  <c r="S12" i="1"/>
  <c r="S11" i="1"/>
  <c r="W30" i="1"/>
  <c r="W29" i="1"/>
  <c r="W28" i="1"/>
  <c r="W27" i="1"/>
  <c r="W26" i="1"/>
  <c r="U30" i="1"/>
  <c r="U29" i="1"/>
  <c r="U28" i="1"/>
  <c r="U27" i="1"/>
  <c r="U26" i="1"/>
  <c r="S30" i="1"/>
  <c r="S29" i="1"/>
  <c r="S28" i="1"/>
  <c r="S27" i="1"/>
  <c r="S26" i="1"/>
  <c r="W21" i="1"/>
  <c r="U21" i="1"/>
  <c r="S21" i="1"/>
  <c r="W25" i="1"/>
  <c r="U25" i="1"/>
  <c r="S25" i="1"/>
  <c r="W24" i="1"/>
  <c r="U24" i="1"/>
  <c r="S24" i="1"/>
  <c r="W23" i="1"/>
  <c r="U23" i="1"/>
  <c r="S23" i="1"/>
  <c r="W22" i="1"/>
  <c r="U22" i="1"/>
  <c r="S22" i="1"/>
  <c r="S10" i="1"/>
  <c r="S9" i="1"/>
  <c r="S8" i="1"/>
  <c r="S7" i="1"/>
  <c r="S6" i="1"/>
  <c r="S5" i="1"/>
  <c r="S20" i="1"/>
  <c r="S19" i="1"/>
  <c r="S18" i="1"/>
  <c r="S17" i="1"/>
  <c r="S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Geoffrey Dyce</author>
  </authors>
  <commentList>
    <comment ref="M8" authorId="0" shapeId="0" xr:uid="{21EE5EA5-E736-4F38-B251-064360D5F8D4}">
      <text>
        <r>
          <rPr>
            <b/>
            <sz val="9"/>
            <color indexed="81"/>
            <rFont val="Tahoma"/>
            <family val="2"/>
          </rPr>
          <t>Geoffrey Dyce:</t>
        </r>
        <r>
          <rPr>
            <sz val="9"/>
            <color indexed="81"/>
            <rFont val="Tahoma"/>
            <family val="2"/>
          </rPr>
          <t xml:space="preserve">
Thesew are just guesses based on the </t>
        </r>
      </text>
    </comment>
  </commentList>
</comments>
</file>

<file path=xl/sharedStrings.xml><?xml version="1.0" encoding="utf-8"?>
<sst xmlns="http://schemas.openxmlformats.org/spreadsheetml/2006/main" count="183" uniqueCount="109">
  <si>
    <t>Forest</t>
  </si>
  <si>
    <t>Natural Forest</t>
  </si>
  <si>
    <t>Year 2010</t>
  </si>
  <si>
    <t>Year 2018</t>
  </si>
  <si>
    <t>Province</t>
  </si>
  <si>
    <t>District</t>
  </si>
  <si>
    <t>Total Area of District (ha)</t>
  </si>
  <si>
    <t>Area (ha)</t>
  </si>
  <si>
    <t>Cover (%)</t>
  </si>
  <si>
    <t>Lost/gained area (ha)</t>
  </si>
  <si>
    <t>Lost/gained area (%)</t>
  </si>
  <si>
    <t>Gia Lai</t>
  </si>
  <si>
    <t>Chư Prông</t>
  </si>
  <si>
    <t>Krông Pa</t>
  </si>
  <si>
    <t>Kông Chro</t>
  </si>
  <si>
    <t>Mang Yang</t>
  </si>
  <si>
    <t>Đăk Đoa</t>
  </si>
  <si>
    <t>Lâm Đồng</t>
  </si>
  <si>
    <t>Bảo Lâm</t>
  </si>
  <si>
    <t>Di Linh</t>
  </si>
  <si>
    <t>Lâm Hà</t>
  </si>
  <si>
    <t>Đam Rông</t>
  </si>
  <si>
    <t>Ninh Thuận</t>
  </si>
  <si>
    <t>Bác Ái</t>
  </si>
  <si>
    <t>Ninh Hải</t>
  </si>
  <si>
    <t>Ninh Sơn</t>
  </si>
  <si>
    <t>Thuận Bắc</t>
  </si>
  <si>
    <t>Đắk Lắk</t>
  </si>
  <si>
    <t>Ea Kar</t>
  </si>
  <si>
    <t>Krông Bông</t>
  </si>
  <si>
    <t>Lắk</t>
  </si>
  <si>
    <t>M'Đrắk</t>
  </si>
  <si>
    <t>Đắk Nông</t>
  </si>
  <si>
    <t>Krông Nô</t>
  </si>
  <si>
    <t>Tuy Đức</t>
  </si>
  <si>
    <t>Đăk Glong</t>
  </si>
  <si>
    <t>Đắk Song</t>
  </si>
  <si>
    <t>DATABASE OF TARGETING DISTRICTS</t>
  </si>
  <si>
    <t>N0</t>
  </si>
  <si>
    <t>%</t>
  </si>
  <si>
    <t>I</t>
  </si>
  <si>
    <t>II</t>
  </si>
  <si>
    <t>Population (2021)</t>
  </si>
  <si>
    <t>Ethnic minority (2021)</t>
  </si>
  <si>
    <t>Poor (2021)</t>
  </si>
  <si>
    <t>Near poor (2021)</t>
  </si>
  <si>
    <t>Household</t>
  </si>
  <si>
    <t>Region</t>
  </si>
  <si>
    <t>Male</t>
  </si>
  <si>
    <t>Female</t>
  </si>
  <si>
    <t>Total</t>
  </si>
  <si>
    <t>Average size of the HH</t>
  </si>
  <si>
    <t>Estimate of the number of rural households benefiting from RECAF according to the regions of intervention</t>
  </si>
  <si>
    <t xml:space="preserve">TOTAL </t>
  </si>
  <si>
    <t>% poor &amp; near poor</t>
  </si>
  <si>
    <t>% ethnic minority</t>
  </si>
  <si>
    <t>Estimated poor &amp; near poor hhs</t>
  </si>
  <si>
    <t>Estimated ethnic minority hhs</t>
  </si>
  <si>
    <t>Youth</t>
  </si>
  <si>
    <t>Estimated direct beneficiaries of RECAF
(mid-term target)</t>
  </si>
  <si>
    <t xml:space="preserve">Estimated direct beneficiaries of RECAF (final target)
</t>
  </si>
  <si>
    <t>Estimated indirect beneficiaries of RECAF 
(final target)</t>
  </si>
  <si>
    <t>% of Direct and Indirect beneficiaries vis a vis total population</t>
  </si>
  <si>
    <t>Total population (2022)</t>
  </si>
  <si>
    <t>RECAF Direct Beneficiaries</t>
  </si>
  <si>
    <t>RECAF Indirect Beneficiaries</t>
  </si>
  <si>
    <t>Ninh Thuan</t>
  </si>
  <si>
    <t>Dak Lak</t>
  </si>
  <si>
    <t>Dak Nong</t>
  </si>
  <si>
    <t>Lam Dong</t>
  </si>
  <si>
    <t>TOTAL</t>
  </si>
  <si>
    <t>(1) % of direct beneciaries/total population</t>
  </si>
  <si>
    <t>(2) % of indirect beneciairiestotal population</t>
  </si>
  <si>
    <t>VN Reduced Emissions through Climate Smart Agroforestry  April 2024</t>
  </si>
  <si>
    <t>Derivation of the HH Beneficiary Phasing for Economic Analysis</t>
  </si>
  <si>
    <t>Target smallholder HH</t>
  </si>
  <si>
    <t>number</t>
  </si>
  <si>
    <t>Source: Logical Framework</t>
  </si>
  <si>
    <t>Persons per HH</t>
  </si>
  <si>
    <t>Breakdown by Technologies</t>
  </si>
  <si>
    <t>HH By Tech</t>
  </si>
  <si>
    <t>Beneficiaries By Tech</t>
  </si>
  <si>
    <t>ha/HH by Tech</t>
  </si>
  <si>
    <t>Area (ha) By Tech</t>
  </si>
  <si>
    <t>ha</t>
  </si>
  <si>
    <t>Coffee - Durian</t>
  </si>
  <si>
    <t>Coffee - Avocado</t>
  </si>
  <si>
    <t>Coffee - Macadamia</t>
  </si>
  <si>
    <t>Coffee - Longan - Acacia</t>
  </si>
  <si>
    <t>Coffee - Pepper - Cassia</t>
  </si>
  <si>
    <t>Improved Bamboo</t>
  </si>
  <si>
    <t>Improved Acacia</t>
  </si>
  <si>
    <t>Irrigated Coffee - Durian</t>
  </si>
  <si>
    <t>Irrigated Coffee - Avocado</t>
  </si>
  <si>
    <t>PY 1</t>
  </si>
  <si>
    <t>PY 2</t>
  </si>
  <si>
    <t>PY 3</t>
  </si>
  <si>
    <t>PY 4</t>
  </si>
  <si>
    <t>PY 5</t>
  </si>
  <si>
    <t>PY 6</t>
  </si>
  <si>
    <t>% of HH By Tech. By Year</t>
  </si>
  <si>
    <t>Targeted HH By Tech. By Year</t>
  </si>
  <si>
    <t>no.</t>
  </si>
  <si>
    <t>Adoption By Tech</t>
  </si>
  <si>
    <t>Adopting HH By Tech. By Year</t>
  </si>
  <si>
    <t>no</t>
  </si>
  <si>
    <t>Number of beneficiairies</t>
  </si>
  <si>
    <t>HHs</t>
  </si>
  <si>
    <t>Estimated indirect beneficiaries of RECAF
(mid-term target)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</si>
</sst>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.0%"/>
    <numFmt numFmtId="167" formatCode="#,##0.0"/>
    <numFmt numFmtId="168" formatCode="_(* #,##0.0_);_(* \(#,##0.0\);_(* &quot;-&quot;??_);_(@_)"/>
    <numFmt numFmtId="169" formatCode="_(* #,##0%_);_(* \(#,##0%\);_(* &quot;-&quot;??_);_(@_)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ndara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i/>
      <sz val="8"/>
      <name val="Calibri"/>
      <family val="2"/>
    </font>
    <font>
      <sz val="8"/>
      <color theme="1"/>
      <name val="Calibri"/>
      <family val="2"/>
      <scheme val="minor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color indexed="12"/>
      <name val="Helvetica-Narrow"/>
      <family val="2"/>
    </font>
    <font>
      <b/>
      <sz val="10"/>
      <name val="Arial"/>
      <family val="2"/>
    </font>
    <font>
      <sz val="10"/>
      <color indexed="9"/>
      <name val="Helvetica-Narrow"/>
      <family val="2"/>
    </font>
    <font>
      <sz val="10"/>
      <name val="Arial"/>
      <family val="2"/>
    </font>
    <font>
      <sz val="10"/>
      <name val="Helvetica-Narrow"/>
      <family val="2"/>
    </font>
    <font>
      <b/>
      <sz val="10"/>
      <name val="Helvetica-Narrow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rgb="FF00B05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EE5EC"/>
        <bgColor indexed="64"/>
      </patternFill>
    </fill>
    <fill>
      <patternFill patternType="solid">
        <fgColor rgb="FF0075A8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 applyNumberFormat="0" applyFill="0"/>
    <xf numFmtId="0" fontId="11" fillId="9" borderId="8" applyNumberFormat="0" applyAlignment="0" applyProtection="0"/>
    <xf numFmtId="0" fontId="13" fillId="10" borderId="1" applyNumberFormat="0">
      <alignment horizontal="center" vertical="center" wrapText="1"/>
    </xf>
    <xf numFmtId="165" fontId="14" fillId="0" borderId="0" applyFont="0" applyFill="0" applyBorder="0"/>
    <xf numFmtId="0" fontId="15" fillId="0" borderId="9" applyNumberFormat="0"/>
  </cellStyleXfs>
  <cellXfs count="93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3" borderId="0" xfId="0" applyFont="1" applyFill="1"/>
    <xf numFmtId="0" fontId="1" fillId="4" borderId="0" xfId="0" applyFont="1" applyFill="1"/>
    <xf numFmtId="3" fontId="0" fillId="4" borderId="1" xfId="0" applyNumberFormat="1" applyFill="1" applyBorder="1"/>
    <xf numFmtId="2" fontId="0" fillId="4" borderId="1" xfId="1" applyNumberFormat="1" applyFont="1" applyFill="1" applyBorder="1"/>
    <xf numFmtId="0" fontId="1" fillId="2" borderId="0" xfId="0" applyFont="1" applyFill="1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6" borderId="1" xfId="0" applyFill="1" applyBorder="1"/>
    <xf numFmtId="0" fontId="1" fillId="6" borderId="1" xfId="0" applyFont="1" applyFill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0" fillId="3" borderId="1" xfId="0" applyFill="1" applyBorder="1"/>
    <xf numFmtId="164" fontId="0" fillId="3" borderId="1" xfId="0" applyNumberFormat="1" applyFill="1" applyBorder="1"/>
    <xf numFmtId="0" fontId="0" fillId="5" borderId="1" xfId="0" applyFill="1" applyBorder="1"/>
    <xf numFmtId="0" fontId="0" fillId="5" borderId="1" xfId="0" applyFill="1" applyBorder="1" applyAlignment="1">
      <alignment vertical="center"/>
    </xf>
    <xf numFmtId="2" fontId="0" fillId="5" borderId="1" xfId="0" applyNumberFormat="1" applyFill="1" applyBorder="1" applyAlignment="1">
      <alignment vertical="center"/>
    </xf>
    <xf numFmtId="0" fontId="1" fillId="4" borderId="1" xfId="0" applyFont="1" applyFill="1" applyBorder="1"/>
    <xf numFmtId="165" fontId="1" fillId="4" borderId="1" xfId="2" applyNumberFormat="1" applyFont="1" applyFill="1" applyBorder="1"/>
    <xf numFmtId="164" fontId="1" fillId="4" borderId="1" xfId="0" applyNumberFormat="1" applyFont="1" applyFill="1" applyBorder="1"/>
    <xf numFmtId="2" fontId="1" fillId="4" borderId="1" xfId="0" applyNumberFormat="1" applyFont="1" applyFill="1" applyBorder="1"/>
    <xf numFmtId="2" fontId="1" fillId="4" borderId="1" xfId="1" applyNumberFormat="1" applyFont="1" applyFill="1" applyBorder="1"/>
    <xf numFmtId="0" fontId="0" fillId="4" borderId="1" xfId="0" applyFill="1" applyBorder="1"/>
    <xf numFmtId="164" fontId="0" fillId="4" borderId="1" xfId="0" applyNumberFormat="1" applyFill="1" applyBorder="1"/>
    <xf numFmtId="2" fontId="0" fillId="4" borderId="1" xfId="0" applyNumberFormat="1" applyFill="1" applyBorder="1"/>
    <xf numFmtId="0" fontId="0" fillId="5" borderId="2" xfId="0" applyFill="1" applyBorder="1"/>
    <xf numFmtId="0" fontId="0" fillId="5" borderId="2" xfId="0" applyFill="1" applyBorder="1" applyAlignment="1">
      <alignment vertical="center"/>
    </xf>
    <xf numFmtId="2" fontId="0" fillId="5" borderId="2" xfId="0" applyNumberFormat="1" applyFill="1" applyBorder="1" applyAlignment="1">
      <alignment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/>
    </xf>
    <xf numFmtId="2" fontId="3" fillId="5" borderId="1" xfId="0" applyNumberFormat="1" applyFont="1" applyFill="1" applyBorder="1" applyAlignment="1">
      <alignment vertical="center"/>
    </xf>
    <xf numFmtId="0" fontId="3" fillId="5" borderId="3" xfId="0" applyFont="1" applyFill="1" applyBorder="1"/>
    <xf numFmtId="0" fontId="4" fillId="0" borderId="0" xfId="0" applyFont="1" applyAlignment="1">
      <alignment horizontal="left" vertical="center"/>
    </xf>
    <xf numFmtId="0" fontId="5" fillId="7" borderId="1" xfId="0" applyFont="1" applyFill="1" applyBorder="1" applyAlignment="1">
      <alignment horizontal="center" vertical="center" wrapText="1"/>
    </xf>
    <xf numFmtId="0" fontId="0" fillId="7" borderId="5" xfId="0" applyFill="1" applyBorder="1"/>
    <xf numFmtId="0" fontId="0" fillId="7" borderId="6" xfId="0" applyFill="1" applyBorder="1"/>
    <xf numFmtId="0" fontId="0" fillId="7" borderId="7" xfId="0" applyFill="1" applyBorder="1"/>
    <xf numFmtId="10" fontId="0" fillId="7" borderId="1" xfId="0" applyNumberFormat="1" applyFill="1" applyBorder="1"/>
    <xf numFmtId="9" fontId="0" fillId="0" borderId="0" xfId="0" applyNumberFormat="1"/>
    <xf numFmtId="3" fontId="6" fillId="0" borderId="1" xfId="0" applyNumberFormat="1" applyFont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/>
    </xf>
    <xf numFmtId="3" fontId="6" fillId="0" borderId="1" xfId="1" applyNumberFormat="1" applyFont="1" applyFill="1" applyBorder="1" applyAlignment="1">
      <alignment horizontal="right" vertical="center"/>
    </xf>
    <xf numFmtId="1" fontId="0" fillId="0" borderId="0" xfId="1" applyNumberFormat="1" applyFont="1"/>
    <xf numFmtId="0" fontId="5" fillId="8" borderId="1" xfId="0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horizontal="right" vertical="center"/>
    </xf>
    <xf numFmtId="0" fontId="0" fillId="8" borderId="1" xfId="0" applyFill="1" applyBorder="1"/>
    <xf numFmtId="1" fontId="0" fillId="0" borderId="0" xfId="0" applyNumberFormat="1"/>
    <xf numFmtId="0" fontId="6" fillId="0" borderId="0" xfId="0" applyFont="1" applyAlignment="1">
      <alignment horizontal="center" vertical="center" textRotation="90" wrapText="1"/>
    </xf>
    <xf numFmtId="3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/>
    <xf numFmtId="9" fontId="0" fillId="0" borderId="0" xfId="1" applyFont="1"/>
    <xf numFmtId="0" fontId="9" fillId="0" borderId="0" xfId="3"/>
    <xf numFmtId="0" fontId="0" fillId="0" borderId="0" xfId="0" applyAlignment="1">
      <alignment horizontal="center"/>
    </xf>
    <xf numFmtId="0" fontId="10" fillId="0" borderId="0" xfId="0" applyFont="1"/>
    <xf numFmtId="165" fontId="11" fillId="9" borderId="8" xfId="4" applyNumberFormat="1"/>
    <xf numFmtId="168" fontId="11" fillId="9" borderId="8" xfId="4" applyNumberFormat="1"/>
    <xf numFmtId="0" fontId="12" fillId="0" borderId="0" xfId="0" applyFont="1"/>
    <xf numFmtId="0" fontId="13" fillId="10" borderId="1" xfId="5">
      <alignment horizontal="center" vertical="center" wrapText="1"/>
    </xf>
    <xf numFmtId="9" fontId="11" fillId="9" borderId="8" xfId="4" applyNumberFormat="1"/>
    <xf numFmtId="165" fontId="15" fillId="0" borderId="9" xfId="6" applyFont="1" applyBorder="1"/>
    <xf numFmtId="43" fontId="11" fillId="9" borderId="8" xfId="4" applyNumberFormat="1"/>
    <xf numFmtId="165" fontId="15" fillId="11" borderId="9" xfId="6" applyFont="1" applyFill="1" applyBorder="1"/>
    <xf numFmtId="166" fontId="0" fillId="0" borderId="0" xfId="0" applyNumberFormat="1"/>
    <xf numFmtId="165" fontId="16" fillId="0" borderId="9" xfId="6" applyFont="1" applyBorder="1"/>
    <xf numFmtId="0" fontId="13" fillId="10" borderId="10" xfId="5" applyBorder="1">
      <alignment horizontal="center" vertical="center" wrapText="1"/>
    </xf>
    <xf numFmtId="169" fontId="2" fillId="0" borderId="9" xfId="1" applyNumberFormat="1" applyBorder="1"/>
    <xf numFmtId="0" fontId="0" fillId="0" borderId="0" xfId="0" applyAlignment="1">
      <alignment horizontal="right"/>
    </xf>
    <xf numFmtId="165" fontId="15" fillId="0" borderId="9" xfId="7" applyNumberFormat="1"/>
    <xf numFmtId="0" fontId="5" fillId="7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3" fontId="19" fillId="8" borderId="1" xfId="0" applyNumberFormat="1" applyFont="1" applyFill="1" applyBorder="1" applyAlignment="1">
      <alignment horizontal="right" vertical="center"/>
    </xf>
    <xf numFmtId="167" fontId="19" fillId="0" borderId="1" xfId="1" applyNumberFormat="1" applyFont="1" applyFill="1" applyBorder="1" applyAlignment="1">
      <alignment horizontal="right" vertical="center"/>
    </xf>
    <xf numFmtId="0" fontId="19" fillId="7" borderId="5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vertical="center" wrapText="1"/>
    </xf>
    <xf numFmtId="0" fontId="19" fillId="7" borderId="7" xfId="0" applyFont="1" applyFill="1" applyBorder="1" applyAlignment="1">
      <alignment horizontal="center" vertical="center" wrapText="1"/>
    </xf>
    <xf numFmtId="0" fontId="19" fillId="7" borderId="5" xfId="0" applyFont="1" applyFill="1" applyBorder="1" applyAlignment="1">
      <alignment horizontal="center" vertical="center" wrapText="1"/>
    </xf>
  </cellXfs>
  <cellStyles count="8">
    <cellStyle name="Assumption" xfId="4" xr:uid="{46D4A8E5-B448-429C-9F6E-72DA10C86664}"/>
    <cellStyle name="Comma" xfId="2" builtinId="3"/>
    <cellStyle name="Comma[0]" xfId="6" xr:uid="{36D3C1E4-F93E-4B40-B0E6-BBE45C20B895}"/>
    <cellStyle name="Header2" xfId="3" xr:uid="{AFC47771-6AB6-41ED-9BA1-AB329E220E95}"/>
    <cellStyle name="InSheet" xfId="7" xr:uid="{5C7728E3-3F0F-44A6-B022-8A9C79024BEE}"/>
    <cellStyle name="Normal" xfId="0" builtinId="0"/>
    <cellStyle name="Percent" xfId="1" builtinId="5"/>
    <cellStyle name="Table_Heading" xfId="5" xr:uid="{71A756ED-A049-4015-B4D4-445ACFA60D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0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19" sqref="C19"/>
    </sheetView>
  </sheetViews>
  <sheetFormatPr defaultColWidth="0" defaultRowHeight="14.5" zeroHeight="1"/>
  <cols>
    <col min="1" max="16" width="8.90625" customWidth="1"/>
    <col min="17" max="17" width="14.90625" customWidth="1"/>
    <col min="18" max="18" width="12.453125" customWidth="1"/>
    <col min="19" max="19" width="12.90625" customWidth="1"/>
    <col min="20" max="20" width="12.36328125" customWidth="1"/>
    <col min="21" max="21" width="10.54296875" style="4" customWidth="1"/>
    <col min="22" max="23" width="8.90625" customWidth="1"/>
    <col min="24" max="16384" width="8.90625" hidden="1"/>
  </cols>
  <sheetData>
    <row r="1" spans="1:23">
      <c r="B1" s="1" t="s">
        <v>37</v>
      </c>
      <c r="U1"/>
    </row>
    <row r="2" spans="1:23" s="1" customFormat="1">
      <c r="A2" s="12" t="s">
        <v>38</v>
      </c>
      <c r="B2" s="12"/>
      <c r="C2" s="12"/>
      <c r="D2" s="12"/>
      <c r="E2" s="13" t="s">
        <v>0</v>
      </c>
      <c r="F2" s="13"/>
      <c r="G2" s="13"/>
      <c r="H2" s="13"/>
      <c r="I2" s="13"/>
      <c r="J2" s="13"/>
      <c r="K2" s="13" t="s">
        <v>1</v>
      </c>
      <c r="L2" s="13"/>
      <c r="M2" s="13"/>
      <c r="N2" s="13"/>
      <c r="O2" s="13"/>
      <c r="P2" s="13"/>
      <c r="Q2" s="12" t="s">
        <v>42</v>
      </c>
      <c r="R2" s="12" t="s">
        <v>43</v>
      </c>
      <c r="S2" s="12"/>
      <c r="T2" s="12" t="s">
        <v>44</v>
      </c>
      <c r="U2" s="12"/>
      <c r="V2" s="12" t="s">
        <v>45</v>
      </c>
      <c r="W2" s="12"/>
    </row>
    <row r="3" spans="1:23" s="1" customFormat="1">
      <c r="A3" s="12"/>
      <c r="B3" s="12"/>
      <c r="C3" s="12"/>
      <c r="D3" s="12"/>
      <c r="E3" s="12" t="s">
        <v>2</v>
      </c>
      <c r="F3" s="12"/>
      <c r="G3" s="12" t="s">
        <v>3</v>
      </c>
      <c r="H3" s="12"/>
      <c r="I3" s="12"/>
      <c r="J3" s="12"/>
      <c r="K3" s="12" t="s">
        <v>2</v>
      </c>
      <c r="L3" s="12"/>
      <c r="M3" s="12" t="s">
        <v>3</v>
      </c>
      <c r="N3" s="12"/>
      <c r="O3" s="12"/>
      <c r="P3" s="12"/>
      <c r="Q3" s="12" t="s">
        <v>46</v>
      </c>
      <c r="R3" s="12" t="s">
        <v>46</v>
      </c>
      <c r="S3" s="12" t="s">
        <v>39</v>
      </c>
      <c r="T3" s="12" t="s">
        <v>46</v>
      </c>
      <c r="U3" s="12" t="s">
        <v>39</v>
      </c>
      <c r="V3" s="12" t="s">
        <v>46</v>
      </c>
      <c r="W3" s="12" t="s">
        <v>39</v>
      </c>
    </row>
    <row r="4" spans="1:23" s="1" customFormat="1">
      <c r="A4" s="12"/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7</v>
      </c>
      <c r="H4" s="12" t="s">
        <v>8</v>
      </c>
      <c r="I4" s="12" t="s">
        <v>9</v>
      </c>
      <c r="J4" s="12" t="s">
        <v>10</v>
      </c>
      <c r="K4" s="12" t="s">
        <v>7</v>
      </c>
      <c r="L4" s="12" t="s">
        <v>8</v>
      </c>
      <c r="M4" s="12" t="s">
        <v>7</v>
      </c>
      <c r="N4" s="12" t="s">
        <v>8</v>
      </c>
      <c r="O4" s="12" t="s">
        <v>9</v>
      </c>
      <c r="P4" s="12" t="s">
        <v>10</v>
      </c>
      <c r="Q4" s="12"/>
      <c r="R4" s="12"/>
      <c r="S4" s="12"/>
      <c r="T4" s="12"/>
      <c r="U4" s="12"/>
      <c r="V4" s="12"/>
      <c r="W4" s="12"/>
    </row>
    <row r="5" spans="1:23" s="11" customFormat="1">
      <c r="A5" s="14" t="s">
        <v>40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>
        <v>377824</v>
      </c>
      <c r="R5" s="14">
        <v>158247</v>
      </c>
      <c r="S5" s="15">
        <f>R5*100/Q5</f>
        <v>41.88378716015923</v>
      </c>
      <c r="T5" s="14">
        <v>45688</v>
      </c>
      <c r="U5" s="14">
        <v>12.09</v>
      </c>
      <c r="V5" s="14">
        <v>33866</v>
      </c>
      <c r="W5" s="14">
        <v>8.9600000000000009</v>
      </c>
    </row>
    <row r="6" spans="1:23" s="2" customFormat="1">
      <c r="A6" s="16">
        <v>1</v>
      </c>
      <c r="B6" s="16"/>
      <c r="C6" s="16" t="s">
        <v>12</v>
      </c>
      <c r="D6" s="16">
        <v>169417.307239621</v>
      </c>
      <c r="E6" s="16">
        <v>90115.829148686185</v>
      </c>
      <c r="F6" s="16">
        <v>0.53191631136733786</v>
      </c>
      <c r="G6" s="16">
        <v>82869.124957938897</v>
      </c>
      <c r="H6" s="16">
        <v>0.48914202632633152</v>
      </c>
      <c r="I6" s="16">
        <v>-7246.7041907472885</v>
      </c>
      <c r="J6" s="16">
        <v>-8.0415441540138563E-2</v>
      </c>
      <c r="K6" s="16">
        <v>78674.216982165788</v>
      </c>
      <c r="L6" s="16">
        <v>0.46438122682997368</v>
      </c>
      <c r="M6" s="16">
        <v>69603.877046022593</v>
      </c>
      <c r="N6" s="16">
        <v>0.41084277740039887</v>
      </c>
      <c r="O6" s="16">
        <v>-9070.3399361431948</v>
      </c>
      <c r="P6" s="16">
        <v>-0.11528986603323041</v>
      </c>
      <c r="Q6" s="16">
        <v>31251</v>
      </c>
      <c r="R6" s="16">
        <v>13881</v>
      </c>
      <c r="S6" s="17">
        <f>R6*100/Q6</f>
        <v>44.417778631083806</v>
      </c>
      <c r="T6" s="16">
        <v>5707</v>
      </c>
      <c r="U6" s="16">
        <v>18.260000000000002</v>
      </c>
      <c r="V6" s="16">
        <v>3718</v>
      </c>
      <c r="W6" s="16">
        <v>11.09</v>
      </c>
    </row>
    <row r="7" spans="1:23" s="2" customFormat="1">
      <c r="A7" s="16">
        <v>2</v>
      </c>
      <c r="B7" s="16"/>
      <c r="C7" s="16" t="s">
        <v>13</v>
      </c>
      <c r="D7" s="16">
        <v>162243.538210809</v>
      </c>
      <c r="E7" s="16">
        <v>81158.726985779489</v>
      </c>
      <c r="F7" s="16">
        <v>0.50022779261832273</v>
      </c>
      <c r="G7" s="16">
        <v>78325.719532898715</v>
      </c>
      <c r="H7" s="16">
        <v>0.48276634247908984</v>
      </c>
      <c r="I7" s="16">
        <v>-2833.0074528807745</v>
      </c>
      <c r="J7" s="16">
        <v>-3.4906997165901454E-2</v>
      </c>
      <c r="K7" s="16">
        <v>79743.242899737204</v>
      </c>
      <c r="L7" s="16">
        <v>0.49150335217741536</v>
      </c>
      <c r="M7" s="16">
        <v>74310.758801242177</v>
      </c>
      <c r="N7" s="16">
        <v>0.45801983623340037</v>
      </c>
      <c r="O7" s="16">
        <v>-5432.4840984950279</v>
      </c>
      <c r="P7" s="16">
        <v>-6.8124694970398941E-2</v>
      </c>
      <c r="Q7" s="16">
        <v>20232</v>
      </c>
      <c r="R7" s="16">
        <v>13265</v>
      </c>
      <c r="S7" s="17">
        <f t="shared" ref="S7:S15" si="0">R7*100/Q7</f>
        <v>65.564452352708585</v>
      </c>
      <c r="T7" s="16">
        <v>3630</v>
      </c>
      <c r="U7" s="16">
        <v>17.940000000000001</v>
      </c>
      <c r="V7" s="16">
        <v>2157</v>
      </c>
      <c r="W7" s="16">
        <v>10.66</v>
      </c>
    </row>
    <row r="8" spans="1:23" s="2" customFormat="1">
      <c r="A8" s="16">
        <v>3</v>
      </c>
      <c r="B8" s="16"/>
      <c r="C8" s="16" t="s">
        <v>14</v>
      </c>
      <c r="D8" s="16">
        <v>144384.15491928099</v>
      </c>
      <c r="E8" s="16">
        <v>85782.871182673931</v>
      </c>
      <c r="F8" s="16">
        <v>0.59412939896785399</v>
      </c>
      <c r="G8" s="16">
        <v>73376.3334668811</v>
      </c>
      <c r="H8" s="16">
        <v>0.50820211890911904</v>
      </c>
      <c r="I8" s="16">
        <v>-12406.537715792831</v>
      </c>
      <c r="J8" s="16">
        <v>-0.14462721455630936</v>
      </c>
      <c r="K8" s="16">
        <v>82673.668165790703</v>
      </c>
      <c r="L8" s="16">
        <v>0.57259515915724979</v>
      </c>
      <c r="M8" s="16">
        <v>68270.757945500663</v>
      </c>
      <c r="N8" s="16">
        <v>0.47284106752342681</v>
      </c>
      <c r="O8" s="16">
        <v>-14402.910220290039</v>
      </c>
      <c r="P8" s="16">
        <v>-0.17421399751377886</v>
      </c>
      <c r="Q8" s="16">
        <v>12477</v>
      </c>
      <c r="R8" s="16">
        <v>8240</v>
      </c>
      <c r="S8" s="17">
        <f t="shared" si="0"/>
        <v>66.041516390157895</v>
      </c>
      <c r="T8" s="16">
        <v>5742</v>
      </c>
      <c r="U8" s="16">
        <v>46.02</v>
      </c>
      <c r="V8" s="16">
        <v>1827</v>
      </c>
      <c r="W8" s="16">
        <v>14.64</v>
      </c>
    </row>
    <row r="9" spans="1:23" s="2" customFormat="1">
      <c r="A9" s="16">
        <v>4</v>
      </c>
      <c r="B9" s="16"/>
      <c r="C9" s="16" t="s">
        <v>15</v>
      </c>
      <c r="D9" s="16">
        <v>112641.31690772501</v>
      </c>
      <c r="E9" s="16">
        <v>61951.081486876057</v>
      </c>
      <c r="F9" s="16">
        <v>0.5499854155436229</v>
      </c>
      <c r="G9" s="16">
        <v>45301.060142499409</v>
      </c>
      <c r="H9" s="16">
        <v>0.40217090305868608</v>
      </c>
      <c r="I9" s="16">
        <v>-16650.021344376648</v>
      </c>
      <c r="J9" s="16">
        <v>-0.26876078584526164</v>
      </c>
      <c r="K9" s="16">
        <v>46907.605077185159</v>
      </c>
      <c r="L9" s="16">
        <v>0.41643338665519641</v>
      </c>
      <c r="M9" s="16">
        <v>34534.668519419312</v>
      </c>
      <c r="N9" s="16">
        <v>0.30658970853217099</v>
      </c>
      <c r="O9" s="16">
        <v>-12372.936557765846</v>
      </c>
      <c r="P9" s="16">
        <v>-0.26377250634319366</v>
      </c>
      <c r="Q9" s="16">
        <v>17077</v>
      </c>
      <c r="R9" s="16">
        <v>9929</v>
      </c>
      <c r="S9" s="17">
        <f t="shared" si="0"/>
        <v>58.142530889500499</v>
      </c>
      <c r="T9" s="16">
        <v>3400</v>
      </c>
      <c r="U9" s="16">
        <v>19.91</v>
      </c>
      <c r="V9" s="16">
        <v>2857</v>
      </c>
      <c r="W9" s="16">
        <v>16.73</v>
      </c>
    </row>
    <row r="10" spans="1:23" s="2" customFormat="1">
      <c r="A10" s="16">
        <v>5</v>
      </c>
      <c r="B10" s="16"/>
      <c r="C10" s="16" t="s">
        <v>16</v>
      </c>
      <c r="D10" s="16">
        <v>98562.001716866696</v>
      </c>
      <c r="E10" s="16">
        <v>40711.948971574915</v>
      </c>
      <c r="F10" s="16">
        <v>0.41305927499855116</v>
      </c>
      <c r="G10" s="16">
        <v>25427.467274810177</v>
      </c>
      <c r="H10" s="16">
        <v>0.25798448521626188</v>
      </c>
      <c r="I10" s="16">
        <v>-15284.481696764738</v>
      </c>
      <c r="J10" s="16">
        <v>-0.37542986967871189</v>
      </c>
      <c r="K10" s="16">
        <v>30354.134753336817</v>
      </c>
      <c r="L10" s="16">
        <v>0.30796995012878664</v>
      </c>
      <c r="M10" s="16">
        <v>19175.887582007756</v>
      </c>
      <c r="N10" s="16">
        <v>0.19455659633509886</v>
      </c>
      <c r="O10" s="16">
        <v>-11178.247171329062</v>
      </c>
      <c r="P10" s="16">
        <v>-0.36826110387153244</v>
      </c>
      <c r="Q10" s="16">
        <v>30709</v>
      </c>
      <c r="R10" s="16">
        <v>16928</v>
      </c>
      <c r="S10" s="17">
        <f t="shared" si="0"/>
        <v>55.123905044123873</v>
      </c>
      <c r="T10" s="16">
        <v>3926</v>
      </c>
      <c r="U10" s="16">
        <v>18.077000000000002</v>
      </c>
      <c r="V10" s="16">
        <v>2077</v>
      </c>
      <c r="W10" s="16">
        <v>6.76</v>
      </c>
    </row>
    <row r="11" spans="1:23" s="6" customFormat="1">
      <c r="A11" s="18" t="s">
        <v>41</v>
      </c>
      <c r="B11" s="19" t="s">
        <v>17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>
        <v>339468</v>
      </c>
      <c r="R11" s="18">
        <v>78857</v>
      </c>
      <c r="S11" s="18">
        <f t="shared" si="0"/>
        <v>23.22958275890511</v>
      </c>
      <c r="T11" s="18">
        <v>9731</v>
      </c>
      <c r="U11" s="18">
        <v>2.87</v>
      </c>
      <c r="V11" s="18">
        <v>13821</v>
      </c>
      <c r="W11" s="18">
        <v>4.07</v>
      </c>
    </row>
    <row r="12" spans="1:23" s="6" customFormat="1">
      <c r="A12" s="18">
        <v>6</v>
      </c>
      <c r="B12" s="18"/>
      <c r="C12" s="18" t="s">
        <v>18</v>
      </c>
      <c r="D12" s="18">
        <v>146492.08203712999</v>
      </c>
      <c r="E12" s="18">
        <v>88777.472173804112</v>
      </c>
      <c r="F12" s="18">
        <v>0.6060223251609087</v>
      </c>
      <c r="G12" s="18">
        <v>78608.905230235134</v>
      </c>
      <c r="H12" s="18">
        <v>0.53660856025181525</v>
      </c>
      <c r="I12" s="18">
        <v>-10168.566943568978</v>
      </c>
      <c r="J12" s="18">
        <v>-0.11453994684216132</v>
      </c>
      <c r="K12" s="18">
        <v>82295.885733729912</v>
      </c>
      <c r="L12" s="18">
        <v>0.56177702295794485</v>
      </c>
      <c r="M12" s="18">
        <v>65107.511792111232</v>
      </c>
      <c r="N12" s="18">
        <v>0.44444389680808166</v>
      </c>
      <c r="O12" s="18">
        <v>-17188.37394161868</v>
      </c>
      <c r="P12" s="18">
        <v>-0.20886067132483427</v>
      </c>
      <c r="Q12" s="18">
        <v>32775</v>
      </c>
      <c r="R12" s="18">
        <v>9912</v>
      </c>
      <c r="S12" s="18">
        <f t="shared" si="0"/>
        <v>30.242562929061783</v>
      </c>
      <c r="T12" s="18">
        <v>932</v>
      </c>
      <c r="U12" s="18">
        <v>2.84</v>
      </c>
      <c r="V12" s="18">
        <v>1788</v>
      </c>
      <c r="W12" s="18">
        <v>5.46</v>
      </c>
    </row>
    <row r="13" spans="1:23" s="6" customFormat="1">
      <c r="A13" s="18">
        <v>7</v>
      </c>
      <c r="B13" s="18"/>
      <c r="C13" s="18" t="s">
        <v>19</v>
      </c>
      <c r="D13" s="18">
        <v>161618.40088435399</v>
      </c>
      <c r="E13" s="18">
        <v>95867.999551792673</v>
      </c>
      <c r="F13" s="18">
        <v>0.59317502850675397</v>
      </c>
      <c r="G13" s="18">
        <v>82952.958194331557</v>
      </c>
      <c r="H13" s="18">
        <v>0.51326431730808009</v>
      </c>
      <c r="I13" s="18">
        <v>-12915.041357461116</v>
      </c>
      <c r="J13" s="18">
        <v>-0.13471691719700238</v>
      </c>
      <c r="K13" s="18">
        <v>87611.80925568493</v>
      </c>
      <c r="L13" s="18">
        <v>0.54209055884902324</v>
      </c>
      <c r="M13" s="18">
        <v>70821.433803854554</v>
      </c>
      <c r="N13" s="18">
        <v>0.43820155017206741</v>
      </c>
      <c r="O13" s="18">
        <v>-16790.375451830376</v>
      </c>
      <c r="P13" s="18">
        <v>-0.19164511718767965</v>
      </c>
      <c r="Q13" s="18">
        <v>41364</v>
      </c>
      <c r="R13" s="18">
        <v>15849</v>
      </c>
      <c r="S13" s="18">
        <f t="shared" si="0"/>
        <v>38.315926892950394</v>
      </c>
      <c r="T13" s="18">
        <v>2222</v>
      </c>
      <c r="U13" s="18">
        <v>5.37</v>
      </c>
      <c r="V13" s="18">
        <v>2691</v>
      </c>
      <c r="W13" s="18">
        <v>6.51</v>
      </c>
    </row>
    <row r="14" spans="1:23" s="6" customFormat="1">
      <c r="A14" s="18">
        <v>8</v>
      </c>
      <c r="B14" s="18"/>
      <c r="C14" s="18" t="s">
        <v>20</v>
      </c>
      <c r="D14" s="18">
        <v>94009.900584847899</v>
      </c>
      <c r="E14" s="18">
        <v>30108.868700554143</v>
      </c>
      <c r="F14" s="18">
        <v>0.32027338092310415</v>
      </c>
      <c r="G14" s="18">
        <v>23095.219366434045</v>
      </c>
      <c r="H14" s="18">
        <v>0.24566794797947517</v>
      </c>
      <c r="I14" s="18">
        <v>-7013.6493341200985</v>
      </c>
      <c r="J14" s="18">
        <v>-0.23294297118479959</v>
      </c>
      <c r="K14" s="18">
        <v>25997.993034262305</v>
      </c>
      <c r="L14" s="18">
        <v>0.27654526674877206</v>
      </c>
      <c r="M14" s="18">
        <v>18348.063877868775</v>
      </c>
      <c r="N14" s="18">
        <v>0.19517161239106803</v>
      </c>
      <c r="O14" s="18">
        <v>-7649.9291563935294</v>
      </c>
      <c r="P14" s="18">
        <v>-0.29425075798396516</v>
      </c>
      <c r="Q14" s="18">
        <v>38489</v>
      </c>
      <c r="R14" s="18">
        <v>7731</v>
      </c>
      <c r="S14" s="18">
        <f t="shared" si="0"/>
        <v>20.086258411494192</v>
      </c>
      <c r="T14" s="18">
        <v>1821</v>
      </c>
      <c r="U14" s="18">
        <v>4.7300000000000004</v>
      </c>
      <c r="V14" s="18">
        <v>2564</v>
      </c>
      <c r="W14" s="18">
        <v>6.66</v>
      </c>
    </row>
    <row r="15" spans="1:23" s="6" customFormat="1">
      <c r="A15" s="18">
        <v>9</v>
      </c>
      <c r="B15" s="18"/>
      <c r="C15" s="18" t="s">
        <v>21</v>
      </c>
      <c r="D15" s="18">
        <v>86426.062042724996</v>
      </c>
      <c r="E15" s="18">
        <v>71271.097251228508</v>
      </c>
      <c r="F15" s="18">
        <v>0.82464820873124378</v>
      </c>
      <c r="G15" s="18">
        <v>60459.363318300675</v>
      </c>
      <c r="H15" s="18">
        <v>0.69955013440751701</v>
      </c>
      <c r="I15" s="18">
        <v>-10811.733932927833</v>
      </c>
      <c r="J15" s="18">
        <v>-0.15169871588782743</v>
      </c>
      <c r="K15" s="18">
        <v>69543.754021449073</v>
      </c>
      <c r="L15" s="18">
        <v>0.80466183900719557</v>
      </c>
      <c r="M15" s="18">
        <v>51790.978919991016</v>
      </c>
      <c r="N15" s="18">
        <v>0.59925186565121968</v>
      </c>
      <c r="O15" s="18">
        <v>-17752.775101458057</v>
      </c>
      <c r="P15" s="18">
        <v>-0.25527490356621596</v>
      </c>
      <c r="Q15" s="18">
        <v>14431</v>
      </c>
      <c r="R15" s="18">
        <v>8305</v>
      </c>
      <c r="S15" s="18">
        <f t="shared" si="0"/>
        <v>57.549719354168111</v>
      </c>
      <c r="T15" s="18">
        <v>2130</v>
      </c>
      <c r="U15" s="18">
        <v>14.76</v>
      </c>
      <c r="V15" s="18">
        <v>2842</v>
      </c>
      <c r="W15" s="18">
        <v>29.69</v>
      </c>
    </row>
    <row r="16" spans="1:23" s="7" customFormat="1">
      <c r="A16" s="20"/>
      <c r="B16" s="20" t="s">
        <v>22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>
        <v>181788</v>
      </c>
      <c r="R16" s="20">
        <v>37918</v>
      </c>
      <c r="S16" s="21">
        <f>R16/Q16*100</f>
        <v>20.858362488173039</v>
      </c>
      <c r="T16" s="20">
        <v>14208</v>
      </c>
      <c r="U16" s="20">
        <v>7.82</v>
      </c>
      <c r="V16" s="20">
        <v>12887</v>
      </c>
      <c r="W16" s="20">
        <v>7.09</v>
      </c>
    </row>
    <row r="17" spans="1:23" s="3" customFormat="1">
      <c r="A17" s="22">
        <v>10</v>
      </c>
      <c r="B17" s="22"/>
      <c r="C17" s="22" t="s">
        <v>23</v>
      </c>
      <c r="D17" s="22">
        <v>102946.97273397401</v>
      </c>
      <c r="E17" s="22">
        <v>61579.484514081312</v>
      </c>
      <c r="F17" s="22">
        <v>0.59816702598151472</v>
      </c>
      <c r="G17" s="22">
        <v>60785.813071967124</v>
      </c>
      <c r="H17" s="22">
        <v>0.59045750892592219</v>
      </c>
      <c r="I17" s="22">
        <v>-793.67144211418781</v>
      </c>
      <c r="J17" s="22">
        <v>-1.2888569113187361E-2</v>
      </c>
      <c r="K17" s="22">
        <v>61320.772538564219</v>
      </c>
      <c r="L17" s="22">
        <v>0.59565396543542526</v>
      </c>
      <c r="M17" s="22">
        <v>57903.537431346122</v>
      </c>
      <c r="N17" s="22">
        <v>0.56245983629819851</v>
      </c>
      <c r="O17" s="22">
        <v>-3417.2351072180973</v>
      </c>
      <c r="P17" s="22">
        <v>-5.5727202475621476E-2</v>
      </c>
      <c r="Q17" s="22">
        <v>7914</v>
      </c>
      <c r="R17" s="22">
        <v>6686</v>
      </c>
      <c r="S17" s="23">
        <f t="shared" ref="S17:S20" si="1">R17/Q17*100</f>
        <v>84.483194339145811</v>
      </c>
      <c r="T17" s="22">
        <v>3173</v>
      </c>
      <c r="U17" s="22">
        <v>40.9</v>
      </c>
      <c r="V17" s="22">
        <v>655</v>
      </c>
      <c r="W17" s="22">
        <v>8.2799999999999994</v>
      </c>
    </row>
    <row r="18" spans="1:23" s="3" customFormat="1">
      <c r="A18" s="22">
        <v>11</v>
      </c>
      <c r="B18" s="22"/>
      <c r="C18" s="22" t="s">
        <v>24</v>
      </c>
      <c r="D18" s="22">
        <v>25410.489001576399</v>
      </c>
      <c r="E18" s="22">
        <v>7535.5154409336174</v>
      </c>
      <c r="F18" s="22">
        <v>0.29655137453144387</v>
      </c>
      <c r="G18" s="22">
        <v>8552.8310046621355</v>
      </c>
      <c r="H18" s="22">
        <v>0.33658663570510355</v>
      </c>
      <c r="I18" s="22">
        <v>1017.3155637285181</v>
      </c>
      <c r="J18" s="22">
        <v>0.13500278404345983</v>
      </c>
      <c r="K18" s="22">
        <v>7399.6450172939667</v>
      </c>
      <c r="L18" s="22">
        <v>0.29120435332176853</v>
      </c>
      <c r="M18" s="22">
        <v>7472.9865761478759</v>
      </c>
      <c r="N18" s="22">
        <v>0.29409062437500794</v>
      </c>
      <c r="O18" s="22">
        <v>73.341558853909191</v>
      </c>
      <c r="P18" s="22">
        <v>9.9114969275553213E-3</v>
      </c>
      <c r="Q18" s="22">
        <v>30269</v>
      </c>
      <c r="R18" s="22">
        <v>2484</v>
      </c>
      <c r="S18" s="23">
        <f t="shared" si="1"/>
        <v>8.2064158049489571</v>
      </c>
      <c r="T18" s="22">
        <v>1481</v>
      </c>
      <c r="U18" s="22">
        <v>4.8899999999999997</v>
      </c>
      <c r="V18" s="22">
        <v>1576</v>
      </c>
      <c r="W18" s="22">
        <v>5.21</v>
      </c>
    </row>
    <row r="19" spans="1:23" s="3" customFormat="1">
      <c r="A19" s="22">
        <v>12</v>
      </c>
      <c r="B19" s="22"/>
      <c r="C19" s="22" t="s">
        <v>25</v>
      </c>
      <c r="D19" s="22">
        <v>77325.574475165005</v>
      </c>
      <c r="E19" s="22">
        <v>40563.345186622457</v>
      </c>
      <c r="F19" s="22">
        <v>0.52457864635264195</v>
      </c>
      <c r="G19" s="22">
        <v>37473.455457703254</v>
      </c>
      <c r="H19" s="22">
        <v>0.48461916658296239</v>
      </c>
      <c r="I19" s="22">
        <v>-3089.8897289192028</v>
      </c>
      <c r="J19" s="22">
        <v>-7.6174430750307776E-2</v>
      </c>
      <c r="K19" s="22">
        <v>40423.439848032525</v>
      </c>
      <c r="L19" s="22">
        <v>0.52276934406760212</v>
      </c>
      <c r="M19" s="22">
        <v>35268.663684558393</v>
      </c>
      <c r="N19" s="22">
        <v>0.45610606741610155</v>
      </c>
      <c r="O19" s="22">
        <v>-5154.7761634741328</v>
      </c>
      <c r="P19" s="22">
        <v>-0.12751948332088875</v>
      </c>
      <c r="Q19" s="22">
        <v>23375</v>
      </c>
      <c r="R19" s="22">
        <v>4993</v>
      </c>
      <c r="S19" s="23">
        <f t="shared" si="1"/>
        <v>21.36042780748663</v>
      </c>
      <c r="T19" s="22">
        <v>2196</v>
      </c>
      <c r="U19" s="22">
        <v>9.39</v>
      </c>
      <c r="V19" s="22">
        <v>2909</v>
      </c>
      <c r="W19" s="22">
        <v>12.44</v>
      </c>
    </row>
    <row r="20" spans="1:23" s="3" customFormat="1">
      <c r="A20" s="22">
        <v>13</v>
      </c>
      <c r="B20" s="22"/>
      <c r="C20" s="22" t="s">
        <v>26</v>
      </c>
      <c r="D20" s="22">
        <v>31743.016600966701</v>
      </c>
      <c r="E20" s="22">
        <v>8727.4717392270413</v>
      </c>
      <c r="F20" s="22">
        <v>0.27494147292104731</v>
      </c>
      <c r="G20" s="22">
        <v>10353.985097824316</v>
      </c>
      <c r="H20" s="22">
        <v>0.32618151034545961</v>
      </c>
      <c r="I20" s="22">
        <v>1626.5133585972744</v>
      </c>
      <c r="J20" s="22">
        <v>0.18636707252647355</v>
      </c>
      <c r="K20" s="22">
        <v>8130.974167470873</v>
      </c>
      <c r="L20" s="22">
        <v>0.25615001465308918</v>
      </c>
      <c r="M20" s="22">
        <v>8099.7517315127861</v>
      </c>
      <c r="N20" s="22">
        <v>0.25516641450094935</v>
      </c>
      <c r="O20" s="22">
        <v>-31.222435958086862</v>
      </c>
      <c r="P20" s="22">
        <v>-3.8399379108836292E-3</v>
      </c>
      <c r="Q20" s="22">
        <v>11444</v>
      </c>
      <c r="R20" s="22">
        <v>7186</v>
      </c>
      <c r="S20" s="23">
        <f t="shared" si="1"/>
        <v>62.792729814750089</v>
      </c>
      <c r="T20" s="22">
        <v>2597</v>
      </c>
      <c r="U20" s="22">
        <v>22.69</v>
      </c>
      <c r="V20" s="22">
        <v>1011</v>
      </c>
      <c r="W20" s="22">
        <v>8.83</v>
      </c>
    </row>
    <row r="21" spans="1:23" s="41" customFormat="1">
      <c r="A21" s="38"/>
      <c r="B21" s="38" t="s">
        <v>27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>
        <v>497481</v>
      </c>
      <c r="R21" s="39">
        <v>155253</v>
      </c>
      <c r="S21" s="39">
        <f>R21/Q21*100</f>
        <v>31.207825022463169</v>
      </c>
      <c r="T21" s="39">
        <v>63624</v>
      </c>
      <c r="U21" s="40">
        <f>T21/Q21*100</f>
        <v>12.789232151579657</v>
      </c>
      <c r="V21" s="39">
        <v>38757</v>
      </c>
      <c r="W21" s="39">
        <f>V21/Q21*100</f>
        <v>7.7906492911287071</v>
      </c>
    </row>
    <row r="22" spans="1:23" s="5" customFormat="1">
      <c r="A22" s="35">
        <v>14</v>
      </c>
      <c r="B22" s="35"/>
      <c r="C22" s="35" t="s">
        <v>28</v>
      </c>
      <c r="D22" s="35">
        <v>103649.94270622201</v>
      </c>
      <c r="E22" s="35">
        <v>36281.397158810578</v>
      </c>
      <c r="F22" s="35">
        <v>0.35003779270427554</v>
      </c>
      <c r="G22" s="35">
        <v>31402.365264793447</v>
      </c>
      <c r="H22" s="35">
        <v>0.30296558246827082</v>
      </c>
      <c r="I22" s="35">
        <v>-4879.031894017131</v>
      </c>
      <c r="J22" s="35">
        <v>-0.13447750847798612</v>
      </c>
      <c r="K22" s="35">
        <v>33632.926599104409</v>
      </c>
      <c r="L22" s="35">
        <v>0.32448572301126277</v>
      </c>
      <c r="M22" s="35">
        <v>28308.127049184797</v>
      </c>
      <c r="N22" s="35">
        <v>0.27311280942450039</v>
      </c>
      <c r="O22" s="35">
        <v>-5324.7995499196113</v>
      </c>
      <c r="P22" s="35">
        <v>-0.15832102907337842</v>
      </c>
      <c r="Q22" s="35">
        <v>38987</v>
      </c>
      <c r="R22" s="36">
        <v>10933</v>
      </c>
      <c r="S22" s="36">
        <f>R22/Q22*100</f>
        <v>28.042680893631211</v>
      </c>
      <c r="T22" s="36">
        <v>4757</v>
      </c>
      <c r="U22" s="37">
        <f>T22/Q22*100</f>
        <v>12.201503065124273</v>
      </c>
      <c r="V22" s="36">
        <v>3204</v>
      </c>
      <c r="W22" s="36">
        <f>V22/Q22*100</f>
        <v>8.2181239900479657</v>
      </c>
    </row>
    <row r="23" spans="1:23" s="5" customFormat="1">
      <c r="A23" s="24">
        <v>15</v>
      </c>
      <c r="B23" s="24"/>
      <c r="C23" s="24" t="s">
        <v>29</v>
      </c>
      <c r="D23" s="24">
        <v>125701.874535101</v>
      </c>
      <c r="E23" s="24">
        <v>75967.4211803613</v>
      </c>
      <c r="F23" s="24">
        <v>0.60434596907421734</v>
      </c>
      <c r="G23" s="24">
        <v>70991.910351493192</v>
      </c>
      <c r="H23" s="24">
        <v>0.56476413429832673</v>
      </c>
      <c r="I23" s="24">
        <v>-4975.5108288681076</v>
      </c>
      <c r="J23" s="24">
        <v>-6.5495323542117956E-2</v>
      </c>
      <c r="K23" s="24">
        <v>74850.750481870535</v>
      </c>
      <c r="L23" s="24">
        <v>0.59546248422070436</v>
      </c>
      <c r="M23" s="24">
        <v>69551.243793701593</v>
      </c>
      <c r="N23" s="24">
        <v>0.55330315519105566</v>
      </c>
      <c r="O23" s="24">
        <v>-5299.5066881689418</v>
      </c>
      <c r="P23" s="24">
        <v>-7.0800982676219468E-2</v>
      </c>
      <c r="Q23" s="24">
        <v>23571</v>
      </c>
      <c r="R23" s="25">
        <v>8926</v>
      </c>
      <c r="S23" s="25">
        <f t="shared" ref="S23:S25" si="2">R23/Q23*100</f>
        <v>37.868567307284373</v>
      </c>
      <c r="T23" s="25">
        <v>7677</v>
      </c>
      <c r="U23" s="26">
        <f t="shared" ref="U23:U25" si="3">T23/Q23*100</f>
        <v>32.569683085147005</v>
      </c>
      <c r="V23" s="25">
        <v>4030</v>
      </c>
      <c r="W23" s="25">
        <f t="shared" ref="W23:W25" si="4">V23/Q23*100</f>
        <v>17.09728055661618</v>
      </c>
    </row>
    <row r="24" spans="1:23" s="5" customFormat="1">
      <c r="A24" s="24">
        <v>16</v>
      </c>
      <c r="B24" s="24"/>
      <c r="C24" s="24" t="s">
        <v>30</v>
      </c>
      <c r="D24" s="24">
        <v>125558.60064210399</v>
      </c>
      <c r="E24" s="24">
        <v>86308.06666172223</v>
      </c>
      <c r="F24" s="24">
        <v>0.68739270922377782</v>
      </c>
      <c r="G24" s="24">
        <v>81176.397836882155</v>
      </c>
      <c r="H24" s="24">
        <v>0.64652200185210573</v>
      </c>
      <c r="I24" s="24">
        <v>-5131.6688248400751</v>
      </c>
      <c r="J24" s="24">
        <v>-5.9457580540568156E-2</v>
      </c>
      <c r="K24" s="24">
        <v>82429.28392908306</v>
      </c>
      <c r="L24" s="24">
        <v>0.65650049863204485</v>
      </c>
      <c r="M24" s="24">
        <v>74985.408994079407</v>
      </c>
      <c r="N24" s="24">
        <v>0.59721443700874044</v>
      </c>
      <c r="O24" s="24">
        <v>-7443.8749350036524</v>
      </c>
      <c r="P24" s="24">
        <v>-9.0306194354519587E-2</v>
      </c>
      <c r="Q24" s="24">
        <v>19029</v>
      </c>
      <c r="R24" s="25">
        <v>12130</v>
      </c>
      <c r="S24" s="25">
        <f t="shared" si="2"/>
        <v>63.744810552314888</v>
      </c>
      <c r="T24" s="25">
        <v>5539</v>
      </c>
      <c r="U24" s="26">
        <f t="shared" si="3"/>
        <v>29.108203268695149</v>
      </c>
      <c r="V24" s="25">
        <v>3163</v>
      </c>
      <c r="W24" s="25">
        <f t="shared" si="4"/>
        <v>16.621998003047981</v>
      </c>
    </row>
    <row r="25" spans="1:23" s="5" customFormat="1">
      <c r="A25" s="24">
        <v>17</v>
      </c>
      <c r="B25" s="24"/>
      <c r="C25" s="24" t="s">
        <v>31</v>
      </c>
      <c r="D25" s="24">
        <v>124425.276625532</v>
      </c>
      <c r="E25" s="24">
        <v>59410.805189737381</v>
      </c>
      <c r="F25" s="24">
        <v>0.47748180113385669</v>
      </c>
      <c r="G25" s="24">
        <v>57169.527188484324</v>
      </c>
      <c r="H25" s="24">
        <v>0.45946875698368483</v>
      </c>
      <c r="I25" s="24">
        <v>-2241.2780012530566</v>
      </c>
      <c r="J25" s="24">
        <v>-3.772509047967279E-2</v>
      </c>
      <c r="K25" s="24">
        <v>53672.828244893964</v>
      </c>
      <c r="L25" s="24">
        <v>0.43136595473624473</v>
      </c>
      <c r="M25" s="24">
        <v>49675.595255327447</v>
      </c>
      <c r="N25" s="24">
        <v>0.3992403842896825</v>
      </c>
      <c r="O25" s="24">
        <v>-3997.2329895665171</v>
      </c>
      <c r="P25" s="24">
        <v>-7.4474051773986485E-2</v>
      </c>
      <c r="Q25" s="24">
        <v>19241</v>
      </c>
      <c r="R25" s="25">
        <v>8430</v>
      </c>
      <c r="S25" s="25">
        <f t="shared" si="2"/>
        <v>43.812691648043241</v>
      </c>
      <c r="T25" s="25">
        <v>8147</v>
      </c>
      <c r="U25" s="26">
        <f t="shared" si="3"/>
        <v>42.34187412296658</v>
      </c>
      <c r="V25" s="25">
        <v>3987</v>
      </c>
      <c r="W25" s="25">
        <f t="shared" si="4"/>
        <v>20.721376227846786</v>
      </c>
    </row>
    <row r="26" spans="1:23" s="8" customFormat="1">
      <c r="A26" s="27"/>
      <c r="B26" s="27" t="s">
        <v>32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>
        <v>163450</v>
      </c>
      <c r="R26" s="28">
        <v>45707</v>
      </c>
      <c r="S26" s="29">
        <f>R26/Q26*100</f>
        <v>27.963903334353013</v>
      </c>
      <c r="T26" s="28">
        <v>18290</v>
      </c>
      <c r="U26" s="30">
        <f>T26/Q26*100</f>
        <v>11.189966350565921</v>
      </c>
      <c r="V26" s="28">
        <v>10929</v>
      </c>
      <c r="W26" s="31">
        <f>V26/Q26*100</f>
        <v>6.6864484551850722</v>
      </c>
    </row>
    <row r="27" spans="1:23" s="4" customFormat="1">
      <c r="A27" s="32">
        <v>18</v>
      </c>
      <c r="B27" s="32"/>
      <c r="C27" s="32" t="s">
        <v>33</v>
      </c>
      <c r="D27" s="32">
        <v>81646.965654404703</v>
      </c>
      <c r="E27" s="32">
        <v>31939.015365330721</v>
      </c>
      <c r="F27" s="32">
        <v>0.39118435215978747</v>
      </c>
      <c r="G27" s="32">
        <v>24360.015071598682</v>
      </c>
      <c r="H27" s="32">
        <v>0.29835787375993567</v>
      </c>
      <c r="I27" s="32">
        <v>-7579.0002937320387</v>
      </c>
      <c r="J27" s="32">
        <v>-0.23729599071983037</v>
      </c>
      <c r="K27" s="32">
        <v>28675.739494842132</v>
      </c>
      <c r="L27" s="32">
        <v>0.35121623032778471</v>
      </c>
      <c r="M27" s="32">
        <v>18951.07076869392</v>
      </c>
      <c r="N27" s="32">
        <v>0.23210992125426949</v>
      </c>
      <c r="O27" s="32">
        <v>-9724.6687261482111</v>
      </c>
      <c r="P27" s="32">
        <v>-0.33912529885750198</v>
      </c>
      <c r="Q27" s="9">
        <v>19662</v>
      </c>
      <c r="R27" s="9">
        <v>7193</v>
      </c>
      <c r="S27" s="33">
        <f t="shared" ref="S27:S30" si="5">R27/Q27*100</f>
        <v>36.583257044044345</v>
      </c>
      <c r="T27" s="9">
        <v>1247</v>
      </c>
      <c r="U27" s="34">
        <f t="shared" ref="U27:U30" si="6">T27/Q27*100</f>
        <v>6.3421828908554581</v>
      </c>
      <c r="V27" s="9">
        <v>2169</v>
      </c>
      <c r="W27" s="10">
        <f t="shared" ref="W27:W30" si="7">V27/Q27*100</f>
        <v>11.031431187061337</v>
      </c>
    </row>
    <row r="28" spans="1:23" s="4" customFormat="1">
      <c r="A28" s="32">
        <v>19</v>
      </c>
      <c r="B28" s="32"/>
      <c r="C28" s="32" t="s">
        <v>34</v>
      </c>
      <c r="D28" s="32">
        <v>112097.06803153901</v>
      </c>
      <c r="E28" s="32">
        <v>59346.361189028081</v>
      </c>
      <c r="F28" s="32">
        <v>0.52941938831380242</v>
      </c>
      <c r="G28" s="32">
        <v>48953.211151764706</v>
      </c>
      <c r="H28" s="32">
        <v>0.43670376051219739</v>
      </c>
      <c r="I28" s="32">
        <v>-10393.150037263375</v>
      </c>
      <c r="J28" s="32">
        <v>-0.17512699732607792</v>
      </c>
      <c r="K28" s="32">
        <v>54894.761390313681</v>
      </c>
      <c r="L28" s="32">
        <v>0.48970737909816514</v>
      </c>
      <c r="M28" s="32">
        <v>37890.389019845206</v>
      </c>
      <c r="N28" s="32">
        <v>0.33801409515175346</v>
      </c>
      <c r="O28" s="32">
        <v>-17004.372370468474</v>
      </c>
      <c r="P28" s="32">
        <v>-0.30976311654883953</v>
      </c>
      <c r="Q28" s="9">
        <v>13195</v>
      </c>
      <c r="R28" s="9">
        <v>5482</v>
      </c>
      <c r="S28" s="33">
        <f t="shared" si="5"/>
        <v>41.546040166729817</v>
      </c>
      <c r="T28" s="9">
        <v>5964</v>
      </c>
      <c r="U28" s="34">
        <f t="shared" si="6"/>
        <v>45.198938992042443</v>
      </c>
      <c r="V28" s="9">
        <v>1440</v>
      </c>
      <c r="W28" s="10">
        <f t="shared" si="7"/>
        <v>10.913224706328155</v>
      </c>
    </row>
    <row r="29" spans="1:23" s="4" customFormat="1">
      <c r="A29" s="32">
        <v>20</v>
      </c>
      <c r="B29" s="32"/>
      <c r="C29" s="32" t="s">
        <v>35</v>
      </c>
      <c r="D29" s="32">
        <v>144778.862155082</v>
      </c>
      <c r="E29" s="32">
        <v>85117.443790231977</v>
      </c>
      <c r="F29" s="32">
        <v>0.58791347385405734</v>
      </c>
      <c r="G29" s="32">
        <v>65377.553567613919</v>
      </c>
      <c r="H29" s="32">
        <v>0.4515683615304546</v>
      </c>
      <c r="I29" s="32">
        <v>-19739.890222618058</v>
      </c>
      <c r="J29" s="32">
        <v>-0.23191356957647963</v>
      </c>
      <c r="K29" s="32">
        <v>79250.17093526441</v>
      </c>
      <c r="L29" s="32">
        <v>0.54738771776210282</v>
      </c>
      <c r="M29" s="32">
        <v>50581.40691386642</v>
      </c>
      <c r="N29" s="32">
        <v>0.34937010942719943</v>
      </c>
      <c r="O29" s="32">
        <v>-28668.76402139799</v>
      </c>
      <c r="P29" s="32">
        <v>-0.36175018530642794</v>
      </c>
      <c r="Q29" s="9">
        <v>17086</v>
      </c>
      <c r="R29" s="9">
        <v>8756</v>
      </c>
      <c r="S29" s="33">
        <f t="shared" si="5"/>
        <v>51.246634671661006</v>
      </c>
      <c r="T29" s="9">
        <v>6690</v>
      </c>
      <c r="U29" s="34">
        <f t="shared" si="6"/>
        <v>39.154863631042957</v>
      </c>
      <c r="V29" s="9">
        <v>2513</v>
      </c>
      <c r="W29" s="10">
        <f t="shared" si="7"/>
        <v>14.707948027624957</v>
      </c>
    </row>
    <row r="30" spans="1:23" s="4" customFormat="1">
      <c r="A30" s="32">
        <v>21</v>
      </c>
      <c r="B30" s="32"/>
      <c r="C30" s="32" t="s">
        <v>36</v>
      </c>
      <c r="D30" s="32">
        <v>80315.223903402206</v>
      </c>
      <c r="E30" s="32">
        <v>27652.641454402554</v>
      </c>
      <c r="F30" s="32">
        <v>0.34430136791576782</v>
      </c>
      <c r="G30" s="32">
        <v>18491.415447365864</v>
      </c>
      <c r="H30" s="32">
        <v>0.23023549644344021</v>
      </c>
      <c r="I30" s="32">
        <v>-9161.2260070366901</v>
      </c>
      <c r="J30" s="32">
        <v>-0.33129659682395873</v>
      </c>
      <c r="K30" s="32">
        <v>24893.220759330343</v>
      </c>
      <c r="L30" s="32">
        <v>0.30994398757164954</v>
      </c>
      <c r="M30" s="32">
        <v>15413.787078295603</v>
      </c>
      <c r="N30" s="32">
        <v>0.19191613157717494</v>
      </c>
      <c r="O30" s="32">
        <v>-9479.4336810347395</v>
      </c>
      <c r="P30" s="32">
        <v>-0.38080382497237564</v>
      </c>
      <c r="Q30" s="9">
        <v>20858</v>
      </c>
      <c r="R30" s="9">
        <v>3662</v>
      </c>
      <c r="S30" s="33">
        <f t="shared" si="5"/>
        <v>17.55681273372327</v>
      </c>
      <c r="T30" s="9">
        <v>1176</v>
      </c>
      <c r="U30" s="34">
        <f t="shared" si="6"/>
        <v>5.6381244606386032</v>
      </c>
      <c r="V30" s="9">
        <v>1445</v>
      </c>
      <c r="W30" s="10">
        <f t="shared" si="7"/>
        <v>6.9277974877744741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C3FB-D1C2-43BB-8320-64AAC08D5684}">
  <dimension ref="A1:T13"/>
  <sheetViews>
    <sheetView tabSelected="1" workbookViewId="0">
      <selection activeCell="A3" sqref="A3:A4"/>
    </sheetView>
  </sheetViews>
  <sheetFormatPr defaultRowHeight="14.5"/>
  <cols>
    <col min="1" max="1" width="10.1796875" customWidth="1"/>
    <col min="19" max="19" width="18" customWidth="1"/>
    <col min="20" max="20" width="20.08984375" customWidth="1"/>
  </cols>
  <sheetData>
    <row r="1" spans="1:20" ht="15" thickBot="1">
      <c r="A1" s="80" t="s">
        <v>52</v>
      </c>
      <c r="B1" s="80"/>
      <c r="C1" s="80"/>
      <c r="D1" s="80"/>
      <c r="E1" s="80"/>
      <c r="F1" s="80"/>
      <c r="G1" s="80"/>
      <c r="H1" s="80"/>
    </row>
    <row r="2" spans="1:20">
      <c r="A2" s="42"/>
    </row>
    <row r="3" spans="1:20" ht="48" customHeight="1">
      <c r="A3" s="81" t="s">
        <v>47</v>
      </c>
      <c r="B3" s="43" t="s">
        <v>107</v>
      </c>
      <c r="C3" s="43" t="s">
        <v>55</v>
      </c>
      <c r="D3" s="43" t="s">
        <v>57</v>
      </c>
      <c r="E3" s="43" t="s">
        <v>54</v>
      </c>
      <c r="F3" s="43" t="s">
        <v>56</v>
      </c>
      <c r="H3" s="43" t="s">
        <v>106</v>
      </c>
      <c r="J3" s="89" t="s">
        <v>60</v>
      </c>
      <c r="K3" s="90"/>
      <c r="L3" s="90"/>
      <c r="M3" s="91"/>
      <c r="N3" s="84" t="s">
        <v>59</v>
      </c>
      <c r="O3" s="85"/>
      <c r="P3" s="85"/>
      <c r="Q3" s="86"/>
      <c r="S3" s="92" t="s">
        <v>61</v>
      </c>
      <c r="T3" s="79" t="s">
        <v>108</v>
      </c>
    </row>
    <row r="4" spans="1:20">
      <c r="A4" s="81"/>
      <c r="B4" s="43" t="s">
        <v>50</v>
      </c>
      <c r="C4" s="44"/>
      <c r="D4" s="45"/>
      <c r="E4" s="45"/>
      <c r="F4" s="46"/>
      <c r="H4" s="47"/>
      <c r="I4" s="48"/>
      <c r="J4" s="43" t="s">
        <v>50</v>
      </c>
      <c r="K4" s="43" t="s">
        <v>48</v>
      </c>
      <c r="L4" s="43" t="s">
        <v>49</v>
      </c>
      <c r="M4" s="43" t="s">
        <v>58</v>
      </c>
      <c r="N4" s="43" t="s">
        <v>50</v>
      </c>
      <c r="O4" s="43" t="s">
        <v>48</v>
      </c>
      <c r="P4" s="43" t="s">
        <v>49</v>
      </c>
      <c r="Q4" s="43" t="s">
        <v>58</v>
      </c>
      <c r="S4" s="43" t="s">
        <v>50</v>
      </c>
      <c r="T4" s="43" t="s">
        <v>50</v>
      </c>
    </row>
    <row r="5" spans="1:20">
      <c r="A5" t="s">
        <v>11</v>
      </c>
      <c r="B5" s="49">
        <v>30000</v>
      </c>
      <c r="C5" s="50">
        <v>0.9</v>
      </c>
      <c r="D5" s="51">
        <f>B5*C5</f>
        <v>27000</v>
      </c>
      <c r="E5" s="50">
        <v>0.4</v>
      </c>
      <c r="F5" s="51">
        <f>D5*E5</f>
        <v>10800</v>
      </c>
      <c r="H5" s="51">
        <f>B5*I12</f>
        <v>126000</v>
      </c>
      <c r="I5" s="52"/>
      <c r="J5" s="51">
        <f>B5*I12</f>
        <v>126000</v>
      </c>
      <c r="K5" s="51">
        <f>J5-L5</f>
        <v>75600</v>
      </c>
      <c r="L5" s="51">
        <f>J5*0.4</f>
        <v>50400</v>
      </c>
      <c r="M5" s="51">
        <f>J5*0.4</f>
        <v>50400</v>
      </c>
      <c r="N5" s="51">
        <f>J5*0.45</f>
        <v>56700</v>
      </c>
      <c r="O5" s="51">
        <f>N5-P5</f>
        <v>34020</v>
      </c>
      <c r="P5" s="51">
        <f>N5*0.4</f>
        <v>22680</v>
      </c>
      <c r="Q5" s="51">
        <f>N5*0.4</f>
        <v>22680</v>
      </c>
      <c r="S5" s="51">
        <v>256000</v>
      </c>
      <c r="T5" s="51">
        <f>S5*0.45</f>
        <v>115200</v>
      </c>
    </row>
    <row r="6" spans="1:20">
      <c r="A6" t="s">
        <v>66</v>
      </c>
      <c r="B6" s="49">
        <v>17000</v>
      </c>
      <c r="C6" s="50">
        <v>0.85</v>
      </c>
      <c r="D6" s="51">
        <f t="shared" ref="D6:D9" si="0">B6*C6</f>
        <v>14450</v>
      </c>
      <c r="E6" s="50">
        <v>0.35</v>
      </c>
      <c r="F6" s="51">
        <f t="shared" ref="F6:F9" si="1">D6*E6</f>
        <v>5057.5</v>
      </c>
      <c r="H6" s="51">
        <f>B6*I12</f>
        <v>71400</v>
      </c>
      <c r="I6" s="52"/>
      <c r="J6" s="51">
        <f>B6*I12</f>
        <v>71400</v>
      </c>
      <c r="K6" s="51">
        <f t="shared" ref="K6:K10" si="2">J6-L6</f>
        <v>42840</v>
      </c>
      <c r="L6" s="51">
        <f t="shared" ref="L6:L10" si="3">J6*0.4</f>
        <v>28560</v>
      </c>
      <c r="M6" s="51">
        <f t="shared" ref="M6:M10" si="4">J6*0.4</f>
        <v>28560</v>
      </c>
      <c r="N6" s="51">
        <f t="shared" ref="N6:N10" si="5">J6*0.45</f>
        <v>32130</v>
      </c>
      <c r="O6" s="51">
        <f t="shared" ref="O6:O10" si="6">N6-P6</f>
        <v>19278</v>
      </c>
      <c r="P6" s="51">
        <f t="shared" ref="P6:P10" si="7">N6*0.4</f>
        <v>12852</v>
      </c>
      <c r="Q6" s="51">
        <f t="shared" ref="Q6:Q10" si="8">N6*0.4</f>
        <v>12852</v>
      </c>
      <c r="S6" s="51">
        <v>160202</v>
      </c>
      <c r="T6" s="51">
        <f t="shared" ref="T6:T10" si="9">S6*0.45</f>
        <v>72090.900000000009</v>
      </c>
    </row>
    <row r="7" spans="1:20">
      <c r="A7" t="s">
        <v>67</v>
      </c>
      <c r="B7" s="49">
        <v>24000</v>
      </c>
      <c r="C7" s="50">
        <v>0.9</v>
      </c>
      <c r="D7" s="51">
        <f t="shared" si="0"/>
        <v>21600</v>
      </c>
      <c r="E7" s="50">
        <v>0.4</v>
      </c>
      <c r="F7" s="51">
        <f t="shared" si="1"/>
        <v>8640</v>
      </c>
      <c r="H7" s="51">
        <f>B7*I12</f>
        <v>100800</v>
      </c>
      <c r="I7" s="52"/>
      <c r="J7" s="51">
        <f>B7*I12</f>
        <v>100800</v>
      </c>
      <c r="K7" s="51">
        <f t="shared" si="2"/>
        <v>60480</v>
      </c>
      <c r="L7" s="51">
        <f t="shared" si="3"/>
        <v>40320</v>
      </c>
      <c r="M7" s="51">
        <f t="shared" si="4"/>
        <v>40320</v>
      </c>
      <c r="N7" s="51">
        <f t="shared" si="5"/>
        <v>45360</v>
      </c>
      <c r="O7" s="51">
        <f t="shared" si="6"/>
        <v>27216</v>
      </c>
      <c r="P7" s="51">
        <f t="shared" si="7"/>
        <v>18144</v>
      </c>
      <c r="Q7" s="51">
        <f t="shared" si="8"/>
        <v>18144</v>
      </c>
      <c r="S7" s="51">
        <f>100828*2.1</f>
        <v>211738.80000000002</v>
      </c>
      <c r="T7" s="51">
        <f t="shared" si="9"/>
        <v>95282.46</v>
      </c>
    </row>
    <row r="8" spans="1:20">
      <c r="A8" t="s">
        <v>68</v>
      </c>
      <c r="B8" s="49">
        <v>17000</v>
      </c>
      <c r="C8" s="50">
        <v>0.9</v>
      </c>
      <c r="D8" s="51">
        <f t="shared" si="0"/>
        <v>15300</v>
      </c>
      <c r="E8" s="50">
        <v>0.45</v>
      </c>
      <c r="F8" s="51">
        <f t="shared" si="1"/>
        <v>6885</v>
      </c>
      <c r="H8" s="51">
        <f>B8*I12</f>
        <v>71400</v>
      </c>
      <c r="I8" s="52"/>
      <c r="J8" s="51">
        <f>B8*I12</f>
        <v>71400</v>
      </c>
      <c r="K8" s="51">
        <f t="shared" si="2"/>
        <v>42840</v>
      </c>
      <c r="L8" s="51">
        <f t="shared" si="3"/>
        <v>28560</v>
      </c>
      <c r="M8" s="51">
        <f t="shared" si="4"/>
        <v>28560</v>
      </c>
      <c r="N8" s="51">
        <f t="shared" si="5"/>
        <v>32130</v>
      </c>
      <c r="O8" s="51">
        <f t="shared" si="6"/>
        <v>19278</v>
      </c>
      <c r="P8" s="51">
        <f t="shared" si="7"/>
        <v>12852</v>
      </c>
      <c r="Q8" s="51">
        <f t="shared" si="8"/>
        <v>12852</v>
      </c>
      <c r="S8" s="51">
        <v>182059</v>
      </c>
      <c r="T8" s="51">
        <f t="shared" si="9"/>
        <v>81926.55</v>
      </c>
    </row>
    <row r="9" spans="1:20">
      <c r="A9" t="s">
        <v>69</v>
      </c>
      <c r="B9" s="49">
        <v>12000</v>
      </c>
      <c r="C9" s="50">
        <v>0.7</v>
      </c>
      <c r="D9" s="51">
        <f t="shared" si="0"/>
        <v>8400</v>
      </c>
      <c r="E9" s="50">
        <v>0.25</v>
      </c>
      <c r="F9" s="51">
        <f t="shared" si="1"/>
        <v>2100</v>
      </c>
      <c r="H9" s="51">
        <f>B9*I12</f>
        <v>50400</v>
      </c>
      <c r="I9" s="52"/>
      <c r="J9" s="51">
        <f>B9*I12</f>
        <v>50400</v>
      </c>
      <c r="K9" s="51">
        <f t="shared" si="2"/>
        <v>30240</v>
      </c>
      <c r="L9" s="51">
        <f t="shared" si="3"/>
        <v>20160</v>
      </c>
      <c r="M9" s="51">
        <f t="shared" si="4"/>
        <v>20160</v>
      </c>
      <c r="N9" s="51">
        <f t="shared" si="5"/>
        <v>22680</v>
      </c>
      <c r="O9" s="51">
        <f t="shared" si="6"/>
        <v>13608</v>
      </c>
      <c r="P9" s="51">
        <f t="shared" si="7"/>
        <v>9072</v>
      </c>
      <c r="Q9" s="51">
        <f t="shared" si="8"/>
        <v>9072</v>
      </c>
      <c r="S9" s="51">
        <v>190000</v>
      </c>
      <c r="T9" s="51">
        <f t="shared" si="9"/>
        <v>85500</v>
      </c>
    </row>
    <row r="10" spans="1:20">
      <c r="A10" s="53" t="s">
        <v>53</v>
      </c>
      <c r="B10" s="54">
        <f>SUM(B5:B9)</f>
        <v>100000</v>
      </c>
      <c r="C10" s="55"/>
      <c r="D10" s="54">
        <f>SUM(D5:D9)</f>
        <v>86750</v>
      </c>
      <c r="E10" s="55"/>
      <c r="F10" s="54">
        <f>SUM(F5:F9)</f>
        <v>33482.5</v>
      </c>
      <c r="H10" s="87">
        <f>SUM(H5:H9)</f>
        <v>420000</v>
      </c>
      <c r="I10" s="56"/>
      <c r="J10" s="87">
        <f>SUM(J5:J9)</f>
        <v>420000</v>
      </c>
      <c r="K10" s="51">
        <f t="shared" si="2"/>
        <v>252000</v>
      </c>
      <c r="L10" s="51">
        <f t="shared" si="3"/>
        <v>168000</v>
      </c>
      <c r="M10" s="51">
        <f t="shared" si="4"/>
        <v>168000</v>
      </c>
      <c r="N10" s="51">
        <f t="shared" si="5"/>
        <v>189000</v>
      </c>
      <c r="O10" s="51">
        <f t="shared" si="6"/>
        <v>113400</v>
      </c>
      <c r="P10" s="51">
        <f t="shared" si="7"/>
        <v>75600</v>
      </c>
      <c r="Q10" s="51">
        <f t="shared" si="8"/>
        <v>75600</v>
      </c>
      <c r="S10" s="87">
        <f>SUM(S5:S9)</f>
        <v>999999.8</v>
      </c>
      <c r="T10" s="51">
        <f t="shared" si="9"/>
        <v>449999.91000000003</v>
      </c>
    </row>
    <row r="11" spans="1:20">
      <c r="A11" s="57"/>
      <c r="B11" s="58"/>
    </row>
    <row r="12" spans="1:20" ht="36">
      <c r="A12" s="59"/>
      <c r="B12" s="82"/>
      <c r="C12" s="82"/>
      <c r="D12" s="82"/>
      <c r="E12" s="82"/>
      <c r="F12" s="82"/>
      <c r="H12" s="43" t="s">
        <v>51</v>
      </c>
      <c r="I12" s="88">
        <v>4.2</v>
      </c>
    </row>
    <row r="13" spans="1:20">
      <c r="A13" s="60"/>
      <c r="B13" s="83"/>
      <c r="C13" s="83"/>
      <c r="D13" s="83"/>
      <c r="E13" s="83"/>
      <c r="F13" s="83"/>
    </row>
  </sheetData>
  <mergeCells count="6">
    <mergeCell ref="N3:Q3"/>
    <mergeCell ref="A1:H1"/>
    <mergeCell ref="A3:A4"/>
    <mergeCell ref="B12:F12"/>
    <mergeCell ref="B13:F13"/>
    <mergeCell ref="J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20A5F-1129-453D-8706-2A903947D3D0}">
  <dimension ref="A1:D12"/>
  <sheetViews>
    <sheetView workbookViewId="0">
      <selection activeCell="B9" sqref="B9"/>
    </sheetView>
  </sheetViews>
  <sheetFormatPr defaultRowHeight="14.5"/>
  <cols>
    <col min="1" max="1" width="19.6328125" customWidth="1"/>
    <col min="2" max="2" width="37.6328125" customWidth="1"/>
    <col min="3" max="3" width="22.453125" customWidth="1"/>
    <col min="4" max="4" width="23.81640625" customWidth="1"/>
  </cols>
  <sheetData>
    <row r="1" spans="1:4">
      <c r="A1" t="s">
        <v>62</v>
      </c>
    </row>
    <row r="2" spans="1:4">
      <c r="B2" s="1" t="s">
        <v>63</v>
      </c>
      <c r="C2" s="1" t="s">
        <v>64</v>
      </c>
      <c r="D2" s="1" t="s">
        <v>65</v>
      </c>
    </row>
    <row r="3" spans="1:4">
      <c r="A3" t="s">
        <v>11</v>
      </c>
      <c r="B3">
        <v>1590980</v>
      </c>
      <c r="C3">
        <v>111000</v>
      </c>
      <c r="D3">
        <v>266000</v>
      </c>
    </row>
    <row r="4" spans="1:4">
      <c r="A4" t="s">
        <v>66</v>
      </c>
      <c r="B4">
        <v>598683</v>
      </c>
      <c r="C4">
        <v>41500</v>
      </c>
      <c r="D4">
        <v>100000</v>
      </c>
    </row>
    <row r="5" spans="1:4">
      <c r="A5" t="s">
        <v>67</v>
      </c>
      <c r="B5">
        <v>1880000</v>
      </c>
      <c r="C5">
        <v>131000</v>
      </c>
      <c r="D5">
        <v>312000</v>
      </c>
    </row>
    <row r="6" spans="1:4">
      <c r="A6" t="s">
        <v>68</v>
      </c>
      <c r="B6">
        <v>637907</v>
      </c>
      <c r="C6">
        <v>44500</v>
      </c>
      <c r="D6">
        <v>102000</v>
      </c>
    </row>
    <row r="7" spans="1:4">
      <c r="A7" t="s">
        <v>69</v>
      </c>
      <c r="B7">
        <v>1321800</v>
      </c>
      <c r="C7">
        <v>92000</v>
      </c>
      <c r="D7">
        <v>220000</v>
      </c>
    </row>
    <row r="8" spans="1:4">
      <c r="A8" s="1" t="s">
        <v>70</v>
      </c>
      <c r="B8" s="1">
        <f>SUM(B3:B7)</f>
        <v>6029370</v>
      </c>
      <c r="C8">
        <f>SUM(C3:C7)</f>
        <v>420000</v>
      </c>
      <c r="D8">
        <f>SUM(D3:D7)</f>
        <v>1000000</v>
      </c>
    </row>
    <row r="11" spans="1:4">
      <c r="B11" t="s">
        <v>71</v>
      </c>
      <c r="C11" s="61">
        <f>C8/B8</f>
        <v>6.965901910149816E-2</v>
      </c>
    </row>
    <row r="12" spans="1:4">
      <c r="B12" t="s">
        <v>72</v>
      </c>
      <c r="C12" s="61">
        <f>D8/B8</f>
        <v>0.16585480738451944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C58C7-3C92-466A-BA49-1A497E235543}">
  <dimension ref="A1:T77"/>
  <sheetViews>
    <sheetView topLeftCell="A30" workbookViewId="0">
      <selection activeCell="K52" sqref="K52"/>
    </sheetView>
  </sheetViews>
  <sheetFormatPr defaultRowHeight="14.5"/>
  <cols>
    <col min="1" max="3" width="3" customWidth="1"/>
    <col min="4" max="4" width="27.1796875" customWidth="1"/>
    <col min="5" max="5" width="3.90625" customWidth="1"/>
    <col min="6" max="6" width="8.81640625" style="63"/>
    <col min="7" max="13" width="11.1796875" customWidth="1"/>
    <col min="14" max="14" width="3.08984375" customWidth="1"/>
    <col min="15" max="15" width="12.54296875" customWidth="1"/>
    <col min="16" max="16" width="4.453125" customWidth="1"/>
    <col min="17" max="17" width="25.81640625" customWidth="1"/>
  </cols>
  <sheetData>
    <row r="1" spans="1:20" ht="15.5">
      <c r="A1" s="62" t="s">
        <v>73</v>
      </c>
    </row>
    <row r="2" spans="1:20" ht="15.5">
      <c r="A2" s="62" t="s">
        <v>74</v>
      </c>
    </row>
    <row r="3" spans="1:20">
      <c r="Q3" s="64"/>
    </row>
    <row r="4" spans="1:20">
      <c r="D4" t="s">
        <v>75</v>
      </c>
      <c r="F4" s="63" t="s">
        <v>76</v>
      </c>
      <c r="G4" s="65">
        <v>100000</v>
      </c>
      <c r="J4" t="s">
        <v>77</v>
      </c>
      <c r="Q4" s="64"/>
    </row>
    <row r="5" spans="1:20">
      <c r="Q5" s="64"/>
    </row>
    <row r="6" spans="1:20">
      <c r="D6" t="s">
        <v>78</v>
      </c>
      <c r="F6" s="63" t="s">
        <v>76</v>
      </c>
      <c r="G6" s="66">
        <v>4.2</v>
      </c>
    </row>
    <row r="8" spans="1:20" ht="25">
      <c r="D8" s="67" t="s">
        <v>79</v>
      </c>
      <c r="H8" s="68" t="s">
        <v>80</v>
      </c>
      <c r="J8" s="68" t="s">
        <v>81</v>
      </c>
      <c r="L8" s="68" t="s">
        <v>82</v>
      </c>
      <c r="M8" s="68" t="s">
        <v>83</v>
      </c>
      <c r="R8" s="68" t="s">
        <v>84</v>
      </c>
    </row>
    <row r="9" spans="1:20">
      <c r="D9" t="s">
        <v>85</v>
      </c>
      <c r="G9" s="69">
        <v>7.0000000000000007E-2</v>
      </c>
      <c r="H9" s="70">
        <f>G9*$G$4</f>
        <v>7000.0000000000009</v>
      </c>
      <c r="J9" s="70">
        <f>H9*$G$6</f>
        <v>29400.000000000004</v>
      </c>
      <c r="L9" s="71">
        <v>1.45</v>
      </c>
      <c r="M9" s="70">
        <f>L9*H9</f>
        <v>10150.000000000002</v>
      </c>
      <c r="O9" s="64"/>
      <c r="Q9" t="str">
        <f>D9</f>
        <v>Coffee - Durian</v>
      </c>
      <c r="R9" s="72">
        <v>6525</v>
      </c>
      <c r="T9" s="73">
        <f t="shared" ref="T9:T18" si="0">R9/SUM($R$9:$R$18)</f>
        <v>6.753959217472312E-2</v>
      </c>
    </row>
    <row r="10" spans="1:20">
      <c r="D10" t="s">
        <v>86</v>
      </c>
      <c r="G10" s="69">
        <v>7.0000000000000007E-2</v>
      </c>
      <c r="H10" s="70">
        <f t="shared" ref="H10:H18" si="1">G10*$G$4</f>
        <v>7000.0000000000009</v>
      </c>
      <c r="J10" s="70">
        <f t="shared" ref="J10:J18" si="2">H10*$G$6</f>
        <v>29400.000000000004</v>
      </c>
      <c r="L10" s="71">
        <v>1.45</v>
      </c>
      <c r="M10" s="70">
        <f t="shared" ref="M10:M18" si="3">L10*H10</f>
        <v>10150.000000000002</v>
      </c>
      <c r="O10" s="64"/>
      <c r="Q10" t="str">
        <f t="shared" ref="Q10:Q18" si="4">D10</f>
        <v>Coffee - Avocado</v>
      </c>
      <c r="R10" s="72">
        <v>6525</v>
      </c>
      <c r="T10" s="73">
        <f t="shared" si="0"/>
        <v>6.753959217472312E-2</v>
      </c>
    </row>
    <row r="11" spans="1:20">
      <c r="D11" t="s">
        <v>87</v>
      </c>
      <c r="G11" s="69">
        <v>7.0000000000000007E-2</v>
      </c>
      <c r="H11" s="70">
        <f t="shared" si="1"/>
        <v>7000.0000000000009</v>
      </c>
      <c r="J11" s="70">
        <f t="shared" si="2"/>
        <v>29400.000000000004</v>
      </c>
      <c r="L11" s="71">
        <v>1.45</v>
      </c>
      <c r="M11" s="70">
        <f t="shared" si="3"/>
        <v>10150.000000000002</v>
      </c>
      <c r="O11" s="64"/>
      <c r="Q11" t="str">
        <f t="shared" si="4"/>
        <v>Coffee - Macadamia</v>
      </c>
      <c r="R11" s="72">
        <v>6525</v>
      </c>
      <c r="T11" s="73">
        <f t="shared" si="0"/>
        <v>6.753959217472312E-2</v>
      </c>
    </row>
    <row r="12" spans="1:20">
      <c r="D12" t="s">
        <v>88</v>
      </c>
      <c r="G12" s="69">
        <v>7.0000000000000007E-2</v>
      </c>
      <c r="H12" s="70">
        <f t="shared" si="1"/>
        <v>7000.0000000000009</v>
      </c>
      <c r="J12" s="70">
        <f t="shared" si="2"/>
        <v>29400.000000000004</v>
      </c>
      <c r="L12" s="71">
        <v>1.45</v>
      </c>
      <c r="M12" s="70">
        <f t="shared" si="3"/>
        <v>10150.000000000002</v>
      </c>
      <c r="O12" s="64"/>
      <c r="Q12" t="str">
        <f t="shared" si="4"/>
        <v>Coffee - Longan - Acacia</v>
      </c>
      <c r="R12" s="72">
        <v>6525</v>
      </c>
      <c r="T12" s="73">
        <f t="shared" si="0"/>
        <v>6.753959217472312E-2</v>
      </c>
    </row>
    <row r="13" spans="1:20">
      <c r="D13" t="s">
        <v>89</v>
      </c>
      <c r="G13" s="69">
        <v>0.06</v>
      </c>
      <c r="H13" s="70">
        <f t="shared" si="1"/>
        <v>6000</v>
      </c>
      <c r="J13" s="70">
        <f t="shared" si="2"/>
        <v>25200</v>
      </c>
      <c r="L13" s="71">
        <v>1.45</v>
      </c>
      <c r="M13" s="70">
        <f t="shared" si="3"/>
        <v>8700</v>
      </c>
      <c r="O13" s="64"/>
      <c r="Q13" t="str">
        <f t="shared" si="4"/>
        <v>Coffee - Pepper - Cassia</v>
      </c>
      <c r="R13" s="72">
        <v>6350</v>
      </c>
      <c r="T13" s="73">
        <f t="shared" si="0"/>
        <v>6.572818548804471E-2</v>
      </c>
    </row>
    <row r="14" spans="1:20">
      <c r="D14" t="s">
        <v>85</v>
      </c>
      <c r="G14" s="69">
        <v>0.01</v>
      </c>
      <c r="H14" s="70">
        <f t="shared" si="1"/>
        <v>1000</v>
      </c>
      <c r="J14" s="70">
        <f t="shared" si="2"/>
        <v>4200</v>
      </c>
      <c r="L14" s="71">
        <v>1.45</v>
      </c>
      <c r="M14" s="70">
        <f t="shared" si="3"/>
        <v>1450</v>
      </c>
      <c r="O14" s="64"/>
      <c r="Q14" t="str">
        <f t="shared" si="4"/>
        <v>Coffee - Durian</v>
      </c>
      <c r="R14" s="72">
        <v>350</v>
      </c>
      <c r="T14" s="73">
        <f t="shared" si="0"/>
        <v>3.6228133733567955E-3</v>
      </c>
    </row>
    <row r="15" spans="1:20">
      <c r="D15" t="s">
        <v>90</v>
      </c>
      <c r="G15" s="69">
        <v>0.57999999999999996</v>
      </c>
      <c r="H15" s="70">
        <f t="shared" si="1"/>
        <v>57999.999999999993</v>
      </c>
      <c r="J15" s="70">
        <f t="shared" si="2"/>
        <v>243599.99999999997</v>
      </c>
      <c r="L15" s="71">
        <v>1.45</v>
      </c>
      <c r="M15" s="70">
        <f t="shared" si="3"/>
        <v>84099.999999999985</v>
      </c>
      <c r="O15" s="64"/>
      <c r="Q15" t="str">
        <f t="shared" si="4"/>
        <v>Improved Bamboo</v>
      </c>
      <c r="R15" s="72">
        <v>55790</v>
      </c>
      <c r="T15" s="73">
        <f t="shared" si="0"/>
        <v>0.57747645171307316</v>
      </c>
    </row>
    <row r="16" spans="1:20">
      <c r="D16" t="s">
        <v>91</v>
      </c>
      <c r="G16" s="69">
        <v>0.05</v>
      </c>
      <c r="H16" s="70">
        <f t="shared" si="1"/>
        <v>5000</v>
      </c>
      <c r="J16" s="70">
        <f t="shared" si="2"/>
        <v>21000</v>
      </c>
      <c r="L16" s="71">
        <v>1.45</v>
      </c>
      <c r="M16" s="70">
        <f t="shared" si="3"/>
        <v>7250</v>
      </c>
      <c r="O16" s="64"/>
      <c r="Q16" t="str">
        <f t="shared" si="4"/>
        <v>Improved Acacia</v>
      </c>
      <c r="R16" s="72">
        <v>7840</v>
      </c>
      <c r="T16" s="73">
        <f t="shared" si="0"/>
        <v>8.115101956319222E-2</v>
      </c>
    </row>
    <row r="17" spans="4:20">
      <c r="D17" t="s">
        <v>92</v>
      </c>
      <c r="G17" s="69">
        <v>0.01</v>
      </c>
      <c r="H17" s="70">
        <f t="shared" si="1"/>
        <v>1000</v>
      </c>
      <c r="J17" s="70">
        <f t="shared" si="2"/>
        <v>4200</v>
      </c>
      <c r="L17" s="71">
        <v>1.45</v>
      </c>
      <c r="M17" s="70">
        <f t="shared" si="3"/>
        <v>1450</v>
      </c>
      <c r="O17" s="64"/>
      <c r="Q17" t="str">
        <f t="shared" si="4"/>
        <v>Irrigated Coffee - Durian</v>
      </c>
      <c r="R17" s="72">
        <v>90</v>
      </c>
      <c r="T17" s="73">
        <f t="shared" si="0"/>
        <v>9.3158058172031883E-4</v>
      </c>
    </row>
    <row r="18" spans="4:20">
      <c r="D18" t="s">
        <v>93</v>
      </c>
      <c r="G18" s="69">
        <v>0.01</v>
      </c>
      <c r="H18" s="70">
        <f t="shared" si="1"/>
        <v>1000</v>
      </c>
      <c r="J18" s="70">
        <f t="shared" si="2"/>
        <v>4200</v>
      </c>
      <c r="L18" s="71">
        <v>1.45</v>
      </c>
      <c r="M18" s="70">
        <f t="shared" si="3"/>
        <v>1450</v>
      </c>
      <c r="O18" s="64"/>
      <c r="Q18" t="str">
        <f t="shared" si="4"/>
        <v>Irrigated Coffee - Avocado</v>
      </c>
      <c r="R18" s="72">
        <v>90</v>
      </c>
      <c r="T18" s="73">
        <f t="shared" si="0"/>
        <v>9.3158058172031883E-4</v>
      </c>
    </row>
    <row r="19" spans="4:20">
      <c r="D19" t="s">
        <v>50</v>
      </c>
      <c r="G19" s="48">
        <f>SUM(G9:G18)</f>
        <v>1</v>
      </c>
      <c r="H19" s="74">
        <f>SUM(H9:H18)</f>
        <v>100000</v>
      </c>
      <c r="J19" s="74">
        <f>SUM(J9:J18)</f>
        <v>420000</v>
      </c>
      <c r="M19" s="74">
        <f>SUM(M9:M18)</f>
        <v>145000</v>
      </c>
    </row>
    <row r="21" spans="4:20">
      <c r="G21" s="68" t="s">
        <v>94</v>
      </c>
      <c r="H21" s="68" t="s">
        <v>95</v>
      </c>
      <c r="I21" s="68" t="s">
        <v>96</v>
      </c>
      <c r="J21" s="68" t="s">
        <v>97</v>
      </c>
      <c r="K21" s="68" t="s">
        <v>98</v>
      </c>
      <c r="L21" s="68" t="s">
        <v>99</v>
      </c>
      <c r="M21" s="68" t="s">
        <v>50</v>
      </c>
    </row>
    <row r="22" spans="4:20">
      <c r="G22" s="75">
        <v>2025</v>
      </c>
      <c r="H22" s="75">
        <v>2026</v>
      </c>
      <c r="I22" s="75">
        <v>2027</v>
      </c>
      <c r="J22" s="75">
        <v>2028</v>
      </c>
      <c r="K22" s="75">
        <v>2029</v>
      </c>
      <c r="L22" s="75">
        <v>2030</v>
      </c>
      <c r="M22" s="68"/>
    </row>
    <row r="23" spans="4:20">
      <c r="D23" s="67" t="s">
        <v>100</v>
      </c>
    </row>
    <row r="24" spans="4:20">
      <c r="D24" t="str">
        <f t="shared" ref="D24:D33" si="5">D9</f>
        <v>Coffee - Durian</v>
      </c>
      <c r="F24" s="63" t="s">
        <v>39</v>
      </c>
      <c r="G24" s="69">
        <v>0</v>
      </c>
      <c r="H24" s="69">
        <v>0</v>
      </c>
      <c r="I24" s="69">
        <v>0.25</v>
      </c>
      <c r="J24" s="69">
        <v>0.25</v>
      </c>
      <c r="K24" s="69">
        <v>0.25</v>
      </c>
      <c r="L24" s="69">
        <v>0.25</v>
      </c>
      <c r="M24" s="76">
        <f>SUM(G24:L24)</f>
        <v>1</v>
      </c>
      <c r="O24" s="64"/>
    </row>
    <row r="25" spans="4:20">
      <c r="D25" t="str">
        <f t="shared" si="5"/>
        <v>Coffee - Avocado</v>
      </c>
      <c r="F25" s="63" t="s">
        <v>39</v>
      </c>
      <c r="G25" s="69">
        <v>0</v>
      </c>
      <c r="H25" s="69">
        <v>0</v>
      </c>
      <c r="I25" s="69">
        <v>0.25</v>
      </c>
      <c r="J25" s="69">
        <v>0.25</v>
      </c>
      <c r="K25" s="69">
        <v>0.25</v>
      </c>
      <c r="L25" s="69">
        <v>0.25</v>
      </c>
      <c r="M25" s="76">
        <f t="shared" ref="M25:M33" si="6">SUM(G25:L25)</f>
        <v>1</v>
      </c>
      <c r="O25" s="64"/>
    </row>
    <row r="26" spans="4:20">
      <c r="D26" t="str">
        <f t="shared" si="5"/>
        <v>Coffee - Macadamia</v>
      </c>
      <c r="F26" s="63" t="s">
        <v>39</v>
      </c>
      <c r="G26" s="69">
        <v>0</v>
      </c>
      <c r="H26" s="69">
        <v>0</v>
      </c>
      <c r="I26" s="69">
        <v>0.25</v>
      </c>
      <c r="J26" s="69">
        <v>0.25</v>
      </c>
      <c r="K26" s="69">
        <v>0.25</v>
      </c>
      <c r="L26" s="69">
        <v>0.25</v>
      </c>
      <c r="M26" s="76">
        <f t="shared" si="6"/>
        <v>1</v>
      </c>
      <c r="O26" s="64"/>
    </row>
    <row r="27" spans="4:20">
      <c r="D27" t="str">
        <f t="shared" si="5"/>
        <v>Coffee - Longan - Acacia</v>
      </c>
      <c r="F27" s="63" t="s">
        <v>39</v>
      </c>
      <c r="G27" s="69">
        <v>0</v>
      </c>
      <c r="H27" s="69">
        <v>0</v>
      </c>
      <c r="I27" s="69">
        <v>0.25</v>
      </c>
      <c r="J27" s="69">
        <v>0.25</v>
      </c>
      <c r="K27" s="69">
        <v>0.25</v>
      </c>
      <c r="L27" s="69">
        <v>0.25</v>
      </c>
      <c r="M27" s="76">
        <f t="shared" si="6"/>
        <v>1</v>
      </c>
      <c r="O27" s="64"/>
    </row>
    <row r="28" spans="4:20">
      <c r="D28" t="str">
        <f t="shared" si="5"/>
        <v>Coffee - Pepper - Cassia</v>
      </c>
      <c r="F28" s="63" t="s">
        <v>39</v>
      </c>
      <c r="G28" s="69">
        <v>0</v>
      </c>
      <c r="H28" s="69">
        <v>0</v>
      </c>
      <c r="I28" s="69">
        <v>0.25</v>
      </c>
      <c r="J28" s="69">
        <v>0.25</v>
      </c>
      <c r="K28" s="69">
        <v>0.25</v>
      </c>
      <c r="L28" s="69">
        <v>0.25</v>
      </c>
      <c r="M28" s="76">
        <f t="shared" si="6"/>
        <v>1</v>
      </c>
      <c r="O28" s="64"/>
    </row>
    <row r="29" spans="4:20">
      <c r="D29" t="str">
        <f t="shared" si="5"/>
        <v>Coffee - Durian</v>
      </c>
      <c r="F29" s="63" t="s">
        <v>39</v>
      </c>
      <c r="G29" s="69">
        <v>0</v>
      </c>
      <c r="H29" s="69">
        <v>0</v>
      </c>
      <c r="I29" s="69">
        <v>0.25</v>
      </c>
      <c r="J29" s="69">
        <v>0.25</v>
      </c>
      <c r="K29" s="69">
        <v>0.25</v>
      </c>
      <c r="L29" s="69">
        <v>0.25</v>
      </c>
      <c r="M29" s="76">
        <f t="shared" si="6"/>
        <v>1</v>
      </c>
      <c r="O29" s="64"/>
    </row>
    <row r="30" spans="4:20">
      <c r="D30" t="str">
        <f t="shared" si="5"/>
        <v>Improved Bamboo</v>
      </c>
      <c r="F30" s="63" t="s">
        <v>39</v>
      </c>
      <c r="G30" s="69">
        <v>0</v>
      </c>
      <c r="H30" s="69">
        <v>0</v>
      </c>
      <c r="I30" s="69">
        <v>0.25</v>
      </c>
      <c r="J30" s="69">
        <v>0.25</v>
      </c>
      <c r="K30" s="69">
        <v>0.25</v>
      </c>
      <c r="L30" s="69">
        <v>0.25</v>
      </c>
      <c r="M30" s="76">
        <f t="shared" si="6"/>
        <v>1</v>
      </c>
      <c r="O30" s="64"/>
    </row>
    <row r="31" spans="4:20">
      <c r="D31" t="str">
        <f t="shared" si="5"/>
        <v>Improved Acacia</v>
      </c>
      <c r="F31" s="63" t="s">
        <v>39</v>
      </c>
      <c r="G31" s="69">
        <v>0</v>
      </c>
      <c r="H31" s="69">
        <v>0</v>
      </c>
      <c r="I31" s="69">
        <v>0.25</v>
      </c>
      <c r="J31" s="69">
        <v>0.25</v>
      </c>
      <c r="K31" s="69">
        <v>0.25</v>
      </c>
      <c r="L31" s="69">
        <v>0.25</v>
      </c>
      <c r="M31" s="76">
        <f t="shared" si="6"/>
        <v>1</v>
      </c>
      <c r="O31" s="64"/>
    </row>
    <row r="32" spans="4:20">
      <c r="D32" t="str">
        <f t="shared" si="5"/>
        <v>Irrigated Coffee - Durian</v>
      </c>
      <c r="F32" s="63" t="s">
        <v>39</v>
      </c>
      <c r="G32" s="69">
        <v>0</v>
      </c>
      <c r="H32" s="69">
        <v>0</v>
      </c>
      <c r="I32" s="69">
        <v>0.25</v>
      </c>
      <c r="J32" s="69">
        <v>0.25</v>
      </c>
      <c r="K32" s="69">
        <v>0.25</v>
      </c>
      <c r="L32" s="69">
        <v>0.25</v>
      </c>
      <c r="M32" s="76">
        <f t="shared" si="6"/>
        <v>1</v>
      </c>
      <c r="O32" s="64"/>
    </row>
    <row r="33" spans="4:15">
      <c r="D33" t="str">
        <f t="shared" si="5"/>
        <v>Irrigated Coffee - Avocado</v>
      </c>
      <c r="F33" s="63" t="s">
        <v>39</v>
      </c>
      <c r="G33" s="69">
        <v>0</v>
      </c>
      <c r="H33" s="69">
        <v>0</v>
      </c>
      <c r="I33" s="69">
        <v>0.25</v>
      </c>
      <c r="J33" s="69">
        <v>0.25</v>
      </c>
      <c r="K33" s="69">
        <v>0.25</v>
      </c>
      <c r="L33" s="69">
        <v>0.25</v>
      </c>
      <c r="M33" s="76">
        <f t="shared" si="6"/>
        <v>1</v>
      </c>
      <c r="O33" s="64"/>
    </row>
    <row r="35" spans="4:15">
      <c r="G35" s="68" t="str">
        <f>G21</f>
        <v>PY 1</v>
      </c>
      <c r="H35" s="68" t="str">
        <f t="shared" ref="H35:M36" si="7">H21</f>
        <v>PY 2</v>
      </c>
      <c r="I35" s="68" t="str">
        <f t="shared" si="7"/>
        <v>PY 3</v>
      </c>
      <c r="J35" s="68" t="str">
        <f t="shared" si="7"/>
        <v>PY 4</v>
      </c>
      <c r="K35" s="68" t="str">
        <f t="shared" si="7"/>
        <v>PY 5</v>
      </c>
      <c r="L35" s="68" t="str">
        <f t="shared" si="7"/>
        <v>PY 6</v>
      </c>
      <c r="M35" s="68" t="str">
        <f t="shared" si="7"/>
        <v>Total</v>
      </c>
    </row>
    <row r="36" spans="4:15">
      <c r="G36" s="75">
        <f>G22</f>
        <v>2025</v>
      </c>
      <c r="H36" s="75">
        <f t="shared" si="7"/>
        <v>2026</v>
      </c>
      <c r="I36" s="75">
        <f t="shared" si="7"/>
        <v>2027</v>
      </c>
      <c r="J36" s="75">
        <f t="shared" si="7"/>
        <v>2028</v>
      </c>
      <c r="K36" s="75">
        <f t="shared" si="7"/>
        <v>2029</v>
      </c>
      <c r="L36" s="75">
        <f t="shared" si="7"/>
        <v>2030</v>
      </c>
      <c r="M36" s="68"/>
    </row>
    <row r="37" spans="4:15">
      <c r="D37" s="67" t="s">
        <v>101</v>
      </c>
    </row>
    <row r="38" spans="4:15">
      <c r="D38" t="str">
        <f t="shared" ref="D38:D47" si="8">D24</f>
        <v>Coffee - Durian</v>
      </c>
      <c r="F38" s="63" t="s">
        <v>102</v>
      </c>
      <c r="G38" s="70">
        <f t="shared" ref="G38:L47" si="9">G24*$H9</f>
        <v>0</v>
      </c>
      <c r="H38" s="70">
        <f t="shared" si="9"/>
        <v>0</v>
      </c>
      <c r="I38" s="70">
        <f t="shared" si="9"/>
        <v>1750.0000000000002</v>
      </c>
      <c r="J38" s="70">
        <f t="shared" si="9"/>
        <v>1750.0000000000002</v>
      </c>
      <c r="K38" s="70">
        <f t="shared" si="9"/>
        <v>1750.0000000000002</v>
      </c>
      <c r="L38" s="70">
        <f t="shared" si="9"/>
        <v>1750.0000000000002</v>
      </c>
      <c r="M38" s="70">
        <f t="shared" ref="M38:M47" si="10">SUM(G38:L38)</f>
        <v>7000.0000000000009</v>
      </c>
    </row>
    <row r="39" spans="4:15">
      <c r="D39" t="str">
        <f t="shared" si="8"/>
        <v>Coffee - Avocado</v>
      </c>
      <c r="F39" s="63" t="s">
        <v>102</v>
      </c>
      <c r="G39" s="70">
        <f t="shared" si="9"/>
        <v>0</v>
      </c>
      <c r="H39" s="70">
        <f t="shared" si="9"/>
        <v>0</v>
      </c>
      <c r="I39" s="70">
        <f t="shared" si="9"/>
        <v>1750.0000000000002</v>
      </c>
      <c r="J39" s="70">
        <f t="shared" si="9"/>
        <v>1750.0000000000002</v>
      </c>
      <c r="K39" s="70">
        <f t="shared" si="9"/>
        <v>1750.0000000000002</v>
      </c>
      <c r="L39" s="70">
        <f t="shared" si="9"/>
        <v>1750.0000000000002</v>
      </c>
      <c r="M39" s="70">
        <f t="shared" si="10"/>
        <v>7000.0000000000009</v>
      </c>
    </row>
    <row r="40" spans="4:15">
      <c r="D40" t="str">
        <f t="shared" si="8"/>
        <v>Coffee - Macadamia</v>
      </c>
      <c r="F40" s="63" t="s">
        <v>102</v>
      </c>
      <c r="G40" s="70">
        <f t="shared" si="9"/>
        <v>0</v>
      </c>
      <c r="H40" s="70">
        <f t="shared" si="9"/>
        <v>0</v>
      </c>
      <c r="I40" s="70">
        <f t="shared" si="9"/>
        <v>1750.0000000000002</v>
      </c>
      <c r="J40" s="70">
        <f t="shared" si="9"/>
        <v>1750.0000000000002</v>
      </c>
      <c r="K40" s="70">
        <f t="shared" si="9"/>
        <v>1750.0000000000002</v>
      </c>
      <c r="L40" s="70">
        <f t="shared" si="9"/>
        <v>1750.0000000000002</v>
      </c>
      <c r="M40" s="70">
        <f t="shared" si="10"/>
        <v>7000.0000000000009</v>
      </c>
    </row>
    <row r="41" spans="4:15">
      <c r="D41" t="str">
        <f t="shared" si="8"/>
        <v>Coffee - Longan - Acacia</v>
      </c>
      <c r="F41" s="63" t="s">
        <v>102</v>
      </c>
      <c r="G41" s="70">
        <f t="shared" si="9"/>
        <v>0</v>
      </c>
      <c r="H41" s="70">
        <f t="shared" si="9"/>
        <v>0</v>
      </c>
      <c r="I41" s="70">
        <f t="shared" si="9"/>
        <v>1750.0000000000002</v>
      </c>
      <c r="J41" s="70">
        <f t="shared" si="9"/>
        <v>1750.0000000000002</v>
      </c>
      <c r="K41" s="70">
        <f t="shared" si="9"/>
        <v>1750.0000000000002</v>
      </c>
      <c r="L41" s="70">
        <f t="shared" si="9"/>
        <v>1750.0000000000002</v>
      </c>
      <c r="M41" s="70">
        <f t="shared" si="10"/>
        <v>7000.0000000000009</v>
      </c>
    </row>
    <row r="42" spans="4:15">
      <c r="D42" t="str">
        <f t="shared" si="8"/>
        <v>Coffee - Pepper - Cassia</v>
      </c>
      <c r="F42" s="63" t="s">
        <v>102</v>
      </c>
      <c r="G42" s="70">
        <f t="shared" si="9"/>
        <v>0</v>
      </c>
      <c r="H42" s="70">
        <f t="shared" si="9"/>
        <v>0</v>
      </c>
      <c r="I42" s="70">
        <f t="shared" si="9"/>
        <v>1500</v>
      </c>
      <c r="J42" s="70">
        <f t="shared" si="9"/>
        <v>1500</v>
      </c>
      <c r="K42" s="70">
        <f t="shared" si="9"/>
        <v>1500</v>
      </c>
      <c r="L42" s="70">
        <f t="shared" si="9"/>
        <v>1500</v>
      </c>
      <c r="M42" s="70">
        <f t="shared" si="10"/>
        <v>6000</v>
      </c>
    </row>
    <row r="43" spans="4:15">
      <c r="D43" t="str">
        <f t="shared" si="8"/>
        <v>Coffee - Durian</v>
      </c>
      <c r="F43" s="63" t="s">
        <v>102</v>
      </c>
      <c r="G43" s="70">
        <f t="shared" si="9"/>
        <v>0</v>
      </c>
      <c r="H43" s="70">
        <f t="shared" si="9"/>
        <v>0</v>
      </c>
      <c r="I43" s="70">
        <f t="shared" si="9"/>
        <v>250</v>
      </c>
      <c r="J43" s="70">
        <f t="shared" si="9"/>
        <v>250</v>
      </c>
      <c r="K43" s="70">
        <f t="shared" si="9"/>
        <v>250</v>
      </c>
      <c r="L43" s="70">
        <f t="shared" si="9"/>
        <v>250</v>
      </c>
      <c r="M43" s="70">
        <f t="shared" si="10"/>
        <v>1000</v>
      </c>
    </row>
    <row r="44" spans="4:15">
      <c r="D44" t="str">
        <f t="shared" si="8"/>
        <v>Improved Bamboo</v>
      </c>
      <c r="F44" s="63" t="s">
        <v>102</v>
      </c>
      <c r="G44" s="70">
        <f t="shared" si="9"/>
        <v>0</v>
      </c>
      <c r="H44" s="70">
        <f t="shared" si="9"/>
        <v>0</v>
      </c>
      <c r="I44" s="70">
        <f t="shared" si="9"/>
        <v>14499.999999999998</v>
      </c>
      <c r="J44" s="70">
        <f t="shared" si="9"/>
        <v>14499.999999999998</v>
      </c>
      <c r="K44" s="70">
        <f t="shared" si="9"/>
        <v>14499.999999999998</v>
      </c>
      <c r="L44" s="70">
        <f t="shared" si="9"/>
        <v>14499.999999999998</v>
      </c>
      <c r="M44" s="70">
        <f t="shared" si="10"/>
        <v>57999.999999999993</v>
      </c>
    </row>
    <row r="45" spans="4:15">
      <c r="D45" t="str">
        <f t="shared" si="8"/>
        <v>Improved Acacia</v>
      </c>
      <c r="F45" s="63" t="s">
        <v>102</v>
      </c>
      <c r="G45" s="70">
        <f t="shared" si="9"/>
        <v>0</v>
      </c>
      <c r="H45" s="70">
        <f t="shared" si="9"/>
        <v>0</v>
      </c>
      <c r="I45" s="70">
        <f t="shared" si="9"/>
        <v>1250</v>
      </c>
      <c r="J45" s="70">
        <f t="shared" si="9"/>
        <v>1250</v>
      </c>
      <c r="K45" s="70">
        <f t="shared" si="9"/>
        <v>1250</v>
      </c>
      <c r="L45" s="70">
        <f t="shared" si="9"/>
        <v>1250</v>
      </c>
      <c r="M45" s="70">
        <f t="shared" si="10"/>
        <v>5000</v>
      </c>
    </row>
    <row r="46" spans="4:15">
      <c r="D46" t="str">
        <f t="shared" si="8"/>
        <v>Irrigated Coffee - Durian</v>
      </c>
      <c r="F46" s="63" t="s">
        <v>102</v>
      </c>
      <c r="G46" s="70">
        <f t="shared" si="9"/>
        <v>0</v>
      </c>
      <c r="H46" s="70">
        <f t="shared" si="9"/>
        <v>0</v>
      </c>
      <c r="I46" s="70">
        <f t="shared" si="9"/>
        <v>250</v>
      </c>
      <c r="J46" s="70">
        <f t="shared" si="9"/>
        <v>250</v>
      </c>
      <c r="K46" s="70">
        <f t="shared" si="9"/>
        <v>250</v>
      </c>
      <c r="L46" s="70">
        <f t="shared" si="9"/>
        <v>250</v>
      </c>
      <c r="M46" s="70">
        <f t="shared" si="10"/>
        <v>1000</v>
      </c>
    </row>
    <row r="47" spans="4:15">
      <c r="D47" t="str">
        <f t="shared" si="8"/>
        <v>Irrigated Coffee - Avocado</v>
      </c>
      <c r="F47" s="63" t="s">
        <v>102</v>
      </c>
      <c r="G47" s="70">
        <f t="shared" si="9"/>
        <v>0</v>
      </c>
      <c r="H47" s="70">
        <f t="shared" si="9"/>
        <v>0</v>
      </c>
      <c r="I47" s="70">
        <f t="shared" si="9"/>
        <v>250</v>
      </c>
      <c r="J47" s="70">
        <f t="shared" si="9"/>
        <v>250</v>
      </c>
      <c r="K47" s="70">
        <f t="shared" si="9"/>
        <v>250</v>
      </c>
      <c r="L47" s="70">
        <f t="shared" si="9"/>
        <v>250</v>
      </c>
      <c r="M47" s="70">
        <f t="shared" si="10"/>
        <v>1000</v>
      </c>
    </row>
    <row r="49" spans="4:13">
      <c r="D49" s="77" t="s">
        <v>50</v>
      </c>
      <c r="F49" s="63" t="s">
        <v>102</v>
      </c>
      <c r="G49" s="70">
        <f>SUM(G38:G47)</f>
        <v>0</v>
      </c>
      <c r="H49" s="70">
        <f t="shared" ref="H49:M49" si="11">SUM(H38:H47)</f>
        <v>0</v>
      </c>
      <c r="I49" s="70">
        <f t="shared" si="11"/>
        <v>25000</v>
      </c>
      <c r="J49" s="70">
        <f t="shared" si="11"/>
        <v>25000</v>
      </c>
      <c r="K49" s="70">
        <f t="shared" si="11"/>
        <v>25000</v>
      </c>
      <c r="L49" s="70">
        <f t="shared" si="11"/>
        <v>25000</v>
      </c>
      <c r="M49" s="70">
        <f t="shared" si="11"/>
        <v>100000</v>
      </c>
    </row>
    <row r="51" spans="4:13">
      <c r="D51" s="67" t="s">
        <v>103</v>
      </c>
    </row>
    <row r="52" spans="4:13">
      <c r="D52" t="str">
        <f>D38</f>
        <v>Coffee - Durian</v>
      </c>
      <c r="F52" s="63" t="s">
        <v>39</v>
      </c>
      <c r="G52" s="69">
        <v>0.75</v>
      </c>
      <c r="I52" s="64"/>
    </row>
    <row r="53" spans="4:13">
      <c r="D53" t="str">
        <f t="shared" ref="D53:D61" si="12">D39</f>
        <v>Coffee - Avocado</v>
      </c>
      <c r="F53" s="63" t="s">
        <v>39</v>
      </c>
      <c r="G53" s="69">
        <v>0.75</v>
      </c>
      <c r="I53" s="64"/>
    </row>
    <row r="54" spans="4:13">
      <c r="D54" t="str">
        <f t="shared" si="12"/>
        <v>Coffee - Macadamia</v>
      </c>
      <c r="F54" s="63" t="s">
        <v>39</v>
      </c>
      <c r="G54" s="69">
        <v>0.75</v>
      </c>
      <c r="I54" s="64"/>
    </row>
    <row r="55" spans="4:13">
      <c r="D55" t="str">
        <f t="shared" si="12"/>
        <v>Coffee - Longan - Acacia</v>
      </c>
      <c r="F55" s="63" t="s">
        <v>39</v>
      </c>
      <c r="G55" s="69">
        <v>0.75</v>
      </c>
      <c r="I55" s="64"/>
    </row>
    <row r="56" spans="4:13">
      <c r="D56" t="str">
        <f t="shared" si="12"/>
        <v>Coffee - Pepper - Cassia</v>
      </c>
      <c r="F56" s="63" t="s">
        <v>39</v>
      </c>
      <c r="G56" s="69">
        <v>0.75</v>
      </c>
      <c r="I56" s="64"/>
    </row>
    <row r="57" spans="4:13">
      <c r="D57" t="str">
        <f t="shared" si="12"/>
        <v>Coffee - Durian</v>
      </c>
      <c r="F57" s="63" t="s">
        <v>39</v>
      </c>
      <c r="G57" s="69">
        <v>0.75</v>
      </c>
      <c r="I57" s="64"/>
    </row>
    <row r="58" spans="4:13">
      <c r="D58" t="str">
        <f t="shared" si="12"/>
        <v>Improved Bamboo</v>
      </c>
      <c r="F58" s="63" t="s">
        <v>39</v>
      </c>
      <c r="G58" s="69">
        <v>0.75</v>
      </c>
      <c r="I58" s="64"/>
    </row>
    <row r="59" spans="4:13">
      <c r="D59" t="str">
        <f t="shared" si="12"/>
        <v>Improved Acacia</v>
      </c>
      <c r="F59" s="63" t="s">
        <v>39</v>
      </c>
      <c r="G59" s="69">
        <v>0.75</v>
      </c>
      <c r="I59" s="64"/>
    </row>
    <row r="60" spans="4:13">
      <c r="D60" t="str">
        <f t="shared" si="12"/>
        <v>Irrigated Coffee - Durian</v>
      </c>
      <c r="F60" s="63" t="s">
        <v>39</v>
      </c>
      <c r="G60" s="69">
        <v>0.75</v>
      </c>
      <c r="I60" s="64"/>
    </row>
    <row r="61" spans="4:13">
      <c r="D61" t="str">
        <f t="shared" si="12"/>
        <v>Irrigated Coffee - Avocado</v>
      </c>
      <c r="F61" s="63" t="s">
        <v>39</v>
      </c>
      <c r="G61" s="69">
        <v>0.75</v>
      </c>
      <c r="I61" s="64"/>
    </row>
    <row r="63" spans="4:13">
      <c r="G63" s="68" t="str">
        <f>G35</f>
        <v>PY 1</v>
      </c>
      <c r="H63" s="68" t="str">
        <f t="shared" ref="H63:M64" si="13">H35</f>
        <v>PY 2</v>
      </c>
      <c r="I63" s="68" t="str">
        <f t="shared" si="13"/>
        <v>PY 3</v>
      </c>
      <c r="J63" s="68" t="str">
        <f t="shared" si="13"/>
        <v>PY 4</v>
      </c>
      <c r="K63" s="68" t="str">
        <f t="shared" si="13"/>
        <v>PY 5</v>
      </c>
      <c r="L63" s="68" t="str">
        <f t="shared" si="13"/>
        <v>PY 6</v>
      </c>
      <c r="M63" s="68" t="str">
        <f t="shared" si="13"/>
        <v>Total</v>
      </c>
    </row>
    <row r="64" spans="4:13">
      <c r="G64" s="75">
        <f>G36</f>
        <v>2025</v>
      </c>
      <c r="H64" s="75">
        <f t="shared" si="13"/>
        <v>2026</v>
      </c>
      <c r="I64" s="75">
        <f t="shared" si="13"/>
        <v>2027</v>
      </c>
      <c r="J64" s="75">
        <f t="shared" si="13"/>
        <v>2028</v>
      </c>
      <c r="K64" s="75">
        <f t="shared" si="13"/>
        <v>2029</v>
      </c>
      <c r="L64" s="75">
        <f t="shared" si="13"/>
        <v>2030</v>
      </c>
      <c r="M64" s="68">
        <f t="shared" si="13"/>
        <v>0</v>
      </c>
    </row>
    <row r="65" spans="4:13">
      <c r="D65" s="67" t="s">
        <v>104</v>
      </c>
    </row>
    <row r="66" spans="4:13">
      <c r="D66" t="str">
        <f t="shared" ref="D66:D75" si="14">D52</f>
        <v>Coffee - Durian</v>
      </c>
      <c r="F66" s="63" t="s">
        <v>105</v>
      </c>
      <c r="G66" s="78">
        <f>G38*G52</f>
        <v>0</v>
      </c>
      <c r="H66" s="78">
        <f>H38*G52</f>
        <v>0</v>
      </c>
      <c r="I66" s="78">
        <f>I38*G52</f>
        <v>1312.5000000000002</v>
      </c>
      <c r="J66" s="78">
        <f>J38*G52</f>
        <v>1312.5000000000002</v>
      </c>
      <c r="K66" s="78">
        <f>K38*G52</f>
        <v>1312.5000000000002</v>
      </c>
      <c r="L66" s="78">
        <f>L38*G52</f>
        <v>1312.5000000000002</v>
      </c>
      <c r="M66" s="70">
        <f t="shared" ref="M66:M75" si="15">SUM(G66:L66)</f>
        <v>5250.0000000000009</v>
      </c>
    </row>
    <row r="67" spans="4:13">
      <c r="D67" t="str">
        <f t="shared" si="14"/>
        <v>Coffee - Avocado</v>
      </c>
      <c r="F67" s="63" t="s">
        <v>105</v>
      </c>
      <c r="G67" s="78">
        <f t="shared" ref="G67:G75" si="16">G39*G53</f>
        <v>0</v>
      </c>
      <c r="H67" s="78">
        <f t="shared" ref="H67:H75" si="17">H39*G53</f>
        <v>0</v>
      </c>
      <c r="I67" s="78">
        <f t="shared" ref="I67:I75" si="18">I39*G53</f>
        <v>1312.5000000000002</v>
      </c>
      <c r="J67" s="78">
        <f t="shared" ref="J67:J75" si="19">J39*G53</f>
        <v>1312.5000000000002</v>
      </c>
      <c r="K67" s="78">
        <f t="shared" ref="K67:K75" si="20">K39*G53</f>
        <v>1312.5000000000002</v>
      </c>
      <c r="L67" s="78">
        <f t="shared" ref="L67:L75" si="21">L39*G53</f>
        <v>1312.5000000000002</v>
      </c>
      <c r="M67" s="70">
        <f t="shared" si="15"/>
        <v>5250.0000000000009</v>
      </c>
    </row>
    <row r="68" spans="4:13">
      <c r="D68" t="str">
        <f t="shared" si="14"/>
        <v>Coffee - Macadamia</v>
      </c>
      <c r="F68" s="63" t="s">
        <v>105</v>
      </c>
      <c r="G68" s="78">
        <f t="shared" si="16"/>
        <v>0</v>
      </c>
      <c r="H68" s="78">
        <f t="shared" si="17"/>
        <v>0</v>
      </c>
      <c r="I68" s="78">
        <f t="shared" si="18"/>
        <v>1312.5000000000002</v>
      </c>
      <c r="J68" s="78">
        <f t="shared" si="19"/>
        <v>1312.5000000000002</v>
      </c>
      <c r="K68" s="78">
        <f t="shared" si="20"/>
        <v>1312.5000000000002</v>
      </c>
      <c r="L68" s="78">
        <f t="shared" si="21"/>
        <v>1312.5000000000002</v>
      </c>
      <c r="M68" s="70">
        <f t="shared" si="15"/>
        <v>5250.0000000000009</v>
      </c>
    </row>
    <row r="69" spans="4:13">
      <c r="D69" t="str">
        <f t="shared" si="14"/>
        <v>Coffee - Longan - Acacia</v>
      </c>
      <c r="F69" s="63" t="s">
        <v>105</v>
      </c>
      <c r="G69" s="78">
        <f t="shared" si="16"/>
        <v>0</v>
      </c>
      <c r="H69" s="78">
        <f t="shared" si="17"/>
        <v>0</v>
      </c>
      <c r="I69" s="78">
        <f t="shared" si="18"/>
        <v>1312.5000000000002</v>
      </c>
      <c r="J69" s="78">
        <f t="shared" si="19"/>
        <v>1312.5000000000002</v>
      </c>
      <c r="K69" s="78">
        <f t="shared" si="20"/>
        <v>1312.5000000000002</v>
      </c>
      <c r="L69" s="78">
        <f t="shared" si="21"/>
        <v>1312.5000000000002</v>
      </c>
      <c r="M69" s="70">
        <f t="shared" si="15"/>
        <v>5250.0000000000009</v>
      </c>
    </row>
    <row r="70" spans="4:13">
      <c r="D70" t="str">
        <f t="shared" si="14"/>
        <v>Coffee - Pepper - Cassia</v>
      </c>
      <c r="F70" s="63" t="s">
        <v>105</v>
      </c>
      <c r="G70" s="78">
        <f t="shared" si="16"/>
        <v>0</v>
      </c>
      <c r="H70" s="78">
        <f t="shared" si="17"/>
        <v>0</v>
      </c>
      <c r="I70" s="78">
        <f t="shared" si="18"/>
        <v>1125</v>
      </c>
      <c r="J70" s="78">
        <f t="shared" si="19"/>
        <v>1125</v>
      </c>
      <c r="K70" s="78">
        <f t="shared" si="20"/>
        <v>1125</v>
      </c>
      <c r="L70" s="78">
        <f t="shared" si="21"/>
        <v>1125</v>
      </c>
      <c r="M70" s="70">
        <f t="shared" si="15"/>
        <v>4500</v>
      </c>
    </row>
    <row r="71" spans="4:13">
      <c r="D71" t="str">
        <f t="shared" si="14"/>
        <v>Coffee - Durian</v>
      </c>
      <c r="F71" s="63" t="s">
        <v>105</v>
      </c>
      <c r="G71" s="78">
        <f t="shared" si="16"/>
        <v>0</v>
      </c>
      <c r="H71" s="78">
        <f t="shared" si="17"/>
        <v>0</v>
      </c>
      <c r="I71" s="78">
        <f t="shared" si="18"/>
        <v>187.5</v>
      </c>
      <c r="J71" s="78">
        <f t="shared" si="19"/>
        <v>187.5</v>
      </c>
      <c r="K71" s="78">
        <f t="shared" si="20"/>
        <v>187.5</v>
      </c>
      <c r="L71" s="78">
        <f t="shared" si="21"/>
        <v>187.5</v>
      </c>
      <c r="M71" s="70">
        <f t="shared" si="15"/>
        <v>750</v>
      </c>
    </row>
    <row r="72" spans="4:13">
      <c r="D72" t="str">
        <f t="shared" si="14"/>
        <v>Improved Bamboo</v>
      </c>
      <c r="F72" s="63" t="s">
        <v>105</v>
      </c>
      <c r="G72" s="78">
        <f t="shared" si="16"/>
        <v>0</v>
      </c>
      <c r="H72" s="78">
        <f t="shared" si="17"/>
        <v>0</v>
      </c>
      <c r="I72" s="78">
        <f t="shared" si="18"/>
        <v>10874.999999999998</v>
      </c>
      <c r="J72" s="78">
        <f t="shared" si="19"/>
        <v>10874.999999999998</v>
      </c>
      <c r="K72" s="78">
        <f t="shared" si="20"/>
        <v>10874.999999999998</v>
      </c>
      <c r="L72" s="78">
        <f t="shared" si="21"/>
        <v>10874.999999999998</v>
      </c>
      <c r="M72" s="70">
        <f t="shared" si="15"/>
        <v>43499.999999999993</v>
      </c>
    </row>
    <row r="73" spans="4:13">
      <c r="D73" t="str">
        <f t="shared" si="14"/>
        <v>Improved Acacia</v>
      </c>
      <c r="F73" s="63" t="s">
        <v>105</v>
      </c>
      <c r="G73" s="78">
        <f t="shared" si="16"/>
        <v>0</v>
      </c>
      <c r="H73" s="78">
        <f t="shared" si="17"/>
        <v>0</v>
      </c>
      <c r="I73" s="78">
        <f t="shared" si="18"/>
        <v>937.5</v>
      </c>
      <c r="J73" s="78">
        <f t="shared" si="19"/>
        <v>937.5</v>
      </c>
      <c r="K73" s="78">
        <f t="shared" si="20"/>
        <v>937.5</v>
      </c>
      <c r="L73" s="78">
        <f t="shared" si="21"/>
        <v>937.5</v>
      </c>
      <c r="M73" s="70">
        <f t="shared" si="15"/>
        <v>3750</v>
      </c>
    </row>
    <row r="74" spans="4:13">
      <c r="D74" t="str">
        <f t="shared" si="14"/>
        <v>Irrigated Coffee - Durian</v>
      </c>
      <c r="F74" s="63" t="s">
        <v>105</v>
      </c>
      <c r="G74" s="78">
        <f t="shared" si="16"/>
        <v>0</v>
      </c>
      <c r="H74" s="78">
        <f t="shared" si="17"/>
        <v>0</v>
      </c>
      <c r="I74" s="78">
        <f t="shared" si="18"/>
        <v>187.5</v>
      </c>
      <c r="J74" s="78">
        <f t="shared" si="19"/>
        <v>187.5</v>
      </c>
      <c r="K74" s="78">
        <f t="shared" si="20"/>
        <v>187.5</v>
      </c>
      <c r="L74" s="78">
        <f t="shared" si="21"/>
        <v>187.5</v>
      </c>
      <c r="M74" s="70">
        <f t="shared" si="15"/>
        <v>750</v>
      </c>
    </row>
    <row r="75" spans="4:13">
      <c r="D75" t="str">
        <f t="shared" si="14"/>
        <v>Irrigated Coffee - Avocado</v>
      </c>
      <c r="F75" s="63" t="s">
        <v>105</v>
      </c>
      <c r="G75" s="78">
        <f t="shared" si="16"/>
        <v>0</v>
      </c>
      <c r="H75" s="78">
        <f t="shared" si="17"/>
        <v>0</v>
      </c>
      <c r="I75" s="78">
        <f t="shared" si="18"/>
        <v>187.5</v>
      </c>
      <c r="J75" s="78">
        <f t="shared" si="19"/>
        <v>187.5</v>
      </c>
      <c r="K75" s="78">
        <f t="shared" si="20"/>
        <v>187.5</v>
      </c>
      <c r="L75" s="78">
        <f t="shared" si="21"/>
        <v>187.5</v>
      </c>
      <c r="M75" s="70">
        <f t="shared" si="15"/>
        <v>750</v>
      </c>
    </row>
    <row r="77" spans="4:13">
      <c r="D77" s="77" t="s">
        <v>50</v>
      </c>
      <c r="F77" s="63" t="s">
        <v>102</v>
      </c>
      <c r="G77" s="70">
        <f>SUM(G66:G75)</f>
        <v>0</v>
      </c>
      <c r="H77" s="70">
        <f t="shared" ref="H77:M77" si="22">SUM(H66:H75)</f>
        <v>0</v>
      </c>
      <c r="I77" s="70">
        <f t="shared" si="22"/>
        <v>18750</v>
      </c>
      <c r="J77" s="70">
        <f t="shared" si="22"/>
        <v>18750</v>
      </c>
      <c r="K77" s="70">
        <f t="shared" si="22"/>
        <v>18750</v>
      </c>
      <c r="L77" s="70">
        <f t="shared" si="22"/>
        <v>18750</v>
      </c>
      <c r="M77" s="70">
        <f t="shared" si="22"/>
        <v>75000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5920924E-926E-45EF-959C-3315FEBE9D1F}"/>
</file>

<file path=customXml/itemProps2.xml><?xml version="1.0" encoding="utf-8"?>
<ds:datastoreItem xmlns:ds="http://schemas.openxmlformats.org/officeDocument/2006/customXml" ds:itemID="{B5DB1F05-DA9D-48B7-83E2-2BE3E885DC91}"/>
</file>

<file path=customXml/itemProps3.xml><?xml version="1.0" encoding="utf-8"?>
<ds:datastoreItem xmlns:ds="http://schemas.openxmlformats.org/officeDocument/2006/customXml" ds:itemID="{57FCABE1-5FA8-48D9-826D-AE05D2A3C6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Database of targeting districts</vt:lpstr>
      <vt:lpstr>Beneficiary calculations</vt:lpstr>
      <vt:lpstr>% direct vs indirect benef</vt:lpstr>
      <vt:lpstr>VN RECAF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Terzano, Dilva</cp:lastModifiedBy>
  <dcterms:created xsi:type="dcterms:W3CDTF">2022-05-28T03:15:29Z</dcterms:created>
  <dcterms:modified xsi:type="dcterms:W3CDTF">2024-06-29T06:39:56Z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