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enclimate.sharepoint.com/sites/FP/Shared Documents/FP077/8. DPM PIMM Project Folders/4.  Adaptive Management &amp; Restructuring/2024/OC/"/>
    </mc:Choice>
  </mc:AlternateContent>
  <xr:revisionPtr revIDLastSave="96" documentId="13_ncr:1_{1D019AF7-EB20-4FD8-9D23-49BAFA72DAB2}" xr6:coauthVersionLast="47" xr6:coauthVersionMax="47" xr10:uidLastSave="{72CE6693-E9BD-4C3E-9120-E2C2683D3576}"/>
  <bookViews>
    <workbookView xWindow="-57720" yWindow="-120" windowWidth="29040" windowHeight="15720" activeTab="7" xr2:uid="{26EF1AAC-8405-4E67-98DD-9B5D449CD10C}"/>
  </bookViews>
  <sheets>
    <sheet name="PV" sheetId="13" r:id="rId1"/>
    <sheet name="EE" sheetId="5" r:id="rId2"/>
    <sheet name="Water" sheetId="6" r:id="rId3"/>
    <sheet name="LED" sheetId="8" r:id="rId4"/>
    <sheet name="Embodied" sheetId="7" r:id="rId5"/>
    <sheet name="SUM" sheetId="10" r:id="rId6"/>
    <sheet name="GCF" sheetId="14" r:id="rId7"/>
    <sheet name="reallocation budget" sheetId="15" r:id="rId8"/>
  </sheets>
  <definedNames>
    <definedName name="_ftn1" localSheetId="7">'reallocation budget'!$E$18</definedName>
    <definedName name="_ftnref1" localSheetId="7">'reallocation budget'!$J$6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3" l="1"/>
  <c r="D13" i="13"/>
  <c r="I16" i="15" l="1"/>
  <c r="I7" i="15"/>
  <c r="I9" i="15"/>
  <c r="I10" i="15"/>
  <c r="I13" i="15"/>
  <c r="I15" i="15"/>
  <c r="H16" i="15"/>
  <c r="G16" i="15"/>
  <c r="H43" i="5"/>
  <c r="J41" i="8"/>
  <c r="C16" i="10"/>
  <c r="G28" i="5"/>
  <c r="E29" i="8"/>
  <c r="F29" i="8" s="1"/>
  <c r="G29" i="8" s="1"/>
  <c r="H29" i="8" s="1"/>
  <c r="E27" i="8"/>
  <c r="F5" i="10"/>
  <c r="B48" i="5"/>
  <c r="C4" i="7" s="1"/>
  <c r="G17" i="8"/>
  <c r="D6" i="8"/>
  <c r="D7" i="8"/>
  <c r="D8" i="8"/>
  <c r="D5" i="8"/>
  <c r="C39" i="6"/>
  <c r="G7" i="13"/>
  <c r="D15" i="13"/>
  <c r="C22" i="13" s="1"/>
  <c r="E7" i="13"/>
  <c r="G22" i="13"/>
  <c r="H22" i="13" s="1"/>
  <c r="E53" i="5"/>
  <c r="H46" i="5"/>
  <c r="H21" i="13" l="1"/>
  <c r="G23" i="13"/>
  <c r="F27" i="8"/>
  <c r="G27" i="8" s="1"/>
  <c r="H27" i="8" s="1"/>
  <c r="E30" i="8"/>
  <c r="D4" i="7"/>
  <c r="H30" i="8"/>
  <c r="I27" i="8"/>
  <c r="F30" i="8"/>
  <c r="E15" i="13"/>
  <c r="D16" i="13"/>
  <c r="H23" i="13"/>
  <c r="B6" i="7"/>
  <c r="D30" i="8"/>
  <c r="C50" i="5"/>
  <c r="J27" i="8" l="1"/>
  <c r="K27" i="8"/>
  <c r="B16" i="13"/>
  <c r="C16" i="13"/>
  <c r="C38" i="14"/>
  <c r="C37" i="14"/>
  <c r="C39" i="14"/>
  <c r="C33" i="14"/>
  <c r="C32" i="14"/>
  <c r="G7" i="14"/>
  <c r="K8" i="14"/>
  <c r="K9" i="14"/>
  <c r="E7" i="14"/>
  <c r="G24" i="14"/>
  <c r="H24" i="14" s="1"/>
  <c r="B24" i="14"/>
  <c r="H23" i="14"/>
  <c r="I23" i="14" s="1"/>
  <c r="H22" i="14"/>
  <c r="I22" i="14" s="1"/>
  <c r="H16" i="14"/>
  <c r="C16" i="14"/>
  <c r="B15" i="14"/>
  <c r="B16" i="14" s="1"/>
  <c r="F13" i="14"/>
  <c r="C22" i="14" s="1"/>
  <c r="I12" i="14"/>
  <c r="G12" i="14"/>
  <c r="I11" i="14"/>
  <c r="G11" i="14"/>
  <c r="I10" i="14"/>
  <c r="G10" i="14"/>
  <c r="I9" i="14"/>
  <c r="G9" i="14"/>
  <c r="I8" i="14"/>
  <c r="G8" i="14"/>
  <c r="I7" i="14"/>
  <c r="C11" i="10"/>
  <c r="E23" i="13"/>
  <c r="B23" i="13"/>
  <c r="F16" i="13"/>
  <c r="C21" i="13"/>
  <c r="G12" i="13"/>
  <c r="E12" i="13"/>
  <c r="G11" i="13"/>
  <c r="E11" i="13"/>
  <c r="G10" i="13"/>
  <c r="E10" i="13"/>
  <c r="G9" i="13"/>
  <c r="E9" i="13"/>
  <c r="G8" i="13"/>
  <c r="E8" i="13"/>
  <c r="G40" i="5"/>
  <c r="G39" i="5"/>
  <c r="G38" i="5"/>
  <c r="G37" i="5"/>
  <c r="G36" i="5"/>
  <c r="G35" i="5"/>
  <c r="G42" i="5"/>
  <c r="B43" i="5"/>
  <c r="E13" i="13" l="1"/>
  <c r="C27" i="8"/>
  <c r="C28" i="8"/>
  <c r="C34" i="14"/>
  <c r="I13" i="14"/>
  <c r="I24" i="14"/>
  <c r="G13" i="14"/>
  <c r="F22" i="14" s="1"/>
  <c r="G13" i="13"/>
  <c r="F15" i="14"/>
  <c r="F16" i="14" s="1"/>
  <c r="D6" i="10"/>
  <c r="F6" i="10" s="1"/>
  <c r="D21" i="13"/>
  <c r="D16" i="10" l="1"/>
  <c r="D8" i="10"/>
  <c r="G15" i="13"/>
  <c r="G16" i="13" s="1"/>
  <c r="E16" i="10"/>
  <c r="F16" i="10"/>
  <c r="I15" i="14"/>
  <c r="I16" i="14" s="1"/>
  <c r="C23" i="14"/>
  <c r="C24" i="14" s="1"/>
  <c r="G15" i="14"/>
  <c r="C23" i="13"/>
  <c r="D22" i="13"/>
  <c r="E58" i="5" l="1"/>
  <c r="D18" i="10"/>
  <c r="F23" i="14"/>
  <c r="F24" i="14" s="1"/>
  <c r="G16" i="14"/>
  <c r="D23" i="13"/>
  <c r="E16" i="13"/>
  <c r="B49" i="5"/>
  <c r="F41" i="5"/>
  <c r="E41" i="5"/>
  <c r="D41" i="5"/>
  <c r="C17" i="10"/>
  <c r="E12" i="8"/>
  <c r="D10" i="8"/>
  <c r="F10" i="8" s="1"/>
  <c r="D11" i="8"/>
  <c r="F11" i="8" s="1"/>
  <c r="B50" i="5" l="1"/>
  <c r="C5" i="7"/>
  <c r="C6" i="7" s="1"/>
  <c r="D48" i="5"/>
  <c r="G41" i="5"/>
  <c r="C29" i="8"/>
  <c r="C30" i="8" s="1"/>
  <c r="D43" i="5"/>
  <c r="F48" i="5"/>
  <c r="E43" i="5"/>
  <c r="E49" i="5" s="1"/>
  <c r="E48" i="5"/>
  <c r="F43" i="5"/>
  <c r="C21" i="10"/>
  <c r="D37" i="6" l="1"/>
  <c r="G48" i="5"/>
  <c r="G56" i="5" s="1"/>
  <c r="E50" i="5"/>
  <c r="D5" i="7"/>
  <c r="D6" i="7" s="1"/>
  <c r="D7" i="7" s="1"/>
  <c r="G43" i="5"/>
  <c r="D49" i="5"/>
  <c r="D50" i="5" s="1"/>
  <c r="F49" i="5"/>
  <c r="F50" i="5" s="1"/>
  <c r="D38" i="6" l="1"/>
  <c r="E38" i="6" s="1"/>
  <c r="F38" i="6" s="1"/>
  <c r="E37" i="6"/>
  <c r="D39" i="6"/>
  <c r="H48" i="5"/>
  <c r="E8" i="10"/>
  <c r="F8" i="10" s="1"/>
  <c r="G49" i="5"/>
  <c r="F6" i="8"/>
  <c r="F7" i="8"/>
  <c r="F8" i="8"/>
  <c r="F5" i="8"/>
  <c r="E39" i="6" l="1"/>
  <c r="F39" i="6" s="1"/>
  <c r="F37" i="6"/>
  <c r="D10" i="10"/>
  <c r="D20" i="10" s="1"/>
  <c r="G50" i="5"/>
  <c r="G57" i="5"/>
  <c r="I48" i="5"/>
  <c r="D7" i="10"/>
  <c r="E18" i="10"/>
  <c r="F18" i="10" s="1"/>
  <c r="F12" i="8"/>
  <c r="C18" i="8" s="1"/>
  <c r="H49" i="5"/>
  <c r="C58" i="5"/>
  <c r="D56" i="5" s="1"/>
  <c r="E56" i="5" s="1"/>
  <c r="H53" i="5"/>
  <c r="H56" i="5" s="1"/>
  <c r="I49" i="5" l="1"/>
  <c r="E7" i="10"/>
  <c r="D17" i="10"/>
  <c r="F7" i="10"/>
  <c r="H57" i="5"/>
  <c r="C20" i="6"/>
  <c r="H50" i="5"/>
  <c r="I50" i="5"/>
  <c r="E10" i="10"/>
  <c r="F10" i="10" s="1"/>
  <c r="E17" i="10"/>
  <c r="E28" i="8"/>
  <c r="F28" i="8" s="1"/>
  <c r="G28" i="8" s="1"/>
  <c r="H28" i="8" s="1"/>
  <c r="I28" i="8" s="1"/>
  <c r="J28" i="8" s="1"/>
  <c r="F18" i="8"/>
  <c r="F19" i="8" s="1"/>
  <c r="E20" i="10" l="1"/>
  <c r="E21" i="10"/>
  <c r="F17" i="10"/>
  <c r="I29" i="8"/>
  <c r="K28" i="8"/>
  <c r="F20" i="8"/>
  <c r="F21" i="8" s="1"/>
  <c r="F22" i="8" s="1"/>
  <c r="F23" i="8" s="1"/>
  <c r="E18" i="8"/>
  <c r="G18" i="8" s="1"/>
  <c r="D21" i="10"/>
  <c r="J29" i="8" l="1"/>
  <c r="J30" i="8" s="1"/>
  <c r="I30" i="8"/>
  <c r="K29" i="8"/>
  <c r="K30" i="8"/>
  <c r="E9" i="10"/>
  <c r="E19" i="8"/>
  <c r="G19" i="8" s="1"/>
  <c r="E20" i="8" l="1"/>
  <c r="G20" i="8" s="1"/>
  <c r="E19" i="10"/>
  <c r="E11" i="10"/>
  <c r="G30" i="8"/>
  <c r="E21" i="8" l="1"/>
  <c r="G21" i="8" s="1"/>
  <c r="F20" i="10"/>
  <c r="E22" i="8" l="1"/>
  <c r="E23" i="8" l="1"/>
  <c r="G23" i="8" s="1"/>
  <c r="G22" i="8"/>
  <c r="D9" i="10"/>
  <c r="F9" i="10" s="1"/>
  <c r="D19" i="10" l="1"/>
  <c r="D11" i="10"/>
  <c r="F11" i="10" s="1"/>
  <c r="F19" i="10" l="1"/>
  <c r="F21" i="10" s="1"/>
</calcChain>
</file>

<file path=xl/sharedStrings.xml><?xml version="1.0" encoding="utf-8"?>
<sst xmlns="http://schemas.openxmlformats.org/spreadsheetml/2006/main" count="452" uniqueCount="289">
  <si>
    <t>Table 1. Solar PV area calculation for Output 1,2</t>
  </si>
  <si>
    <t>Number of solar PV per building</t>
  </si>
  <si>
    <t>Capacity per solar PV, [kWp]</t>
  </si>
  <si>
    <t>Area of one solar PV, m2</t>
  </si>
  <si>
    <t>Site code</t>
  </si>
  <si>
    <t>Number of building</t>
  </si>
  <si>
    <t xml:space="preserve">Unit number </t>
  </si>
  <si>
    <t/>
  </si>
  <si>
    <t>Number of PV</t>
  </si>
  <si>
    <t>Capacity of PV, [kWp]</t>
  </si>
  <si>
    <t>Area, %</t>
  </si>
  <si>
    <t>PV Area, m2</t>
  </si>
  <si>
    <t>Output I</t>
  </si>
  <si>
    <t>B15</t>
  </si>
  <si>
    <t>B13-1</t>
  </si>
  <si>
    <t>B13-2</t>
  </si>
  <si>
    <t>S27-5</t>
  </si>
  <si>
    <t>S27-2</t>
  </si>
  <si>
    <t>B13 - 3</t>
  </si>
  <si>
    <t>Total output I</t>
  </si>
  <si>
    <t>Output II</t>
  </si>
  <si>
    <t>Not determined yet</t>
  </si>
  <si>
    <t>Total AHURP by PV system</t>
  </si>
  <si>
    <t>Table 2. GHG emission reduction calculation of solar PV</t>
  </si>
  <si>
    <t>AHURP</t>
  </si>
  <si>
    <t>Number of housing unit</t>
  </si>
  <si>
    <t>Energy production [MWh]</t>
  </si>
  <si>
    <t>Grid emission factor [tCO2e/MWh]</t>
  </si>
  <si>
    <t>Yearly GHG [tCO2e]</t>
  </si>
  <si>
    <t xml:space="preserve"> GHG 25 years [tCO2e]</t>
  </si>
  <si>
    <t>Total</t>
  </si>
  <si>
    <t xml:space="preserve"> -</t>
  </si>
  <si>
    <t>`</t>
  </si>
  <si>
    <t>Name</t>
  </si>
  <si>
    <t>Number</t>
  </si>
  <si>
    <t>Unit</t>
  </si>
  <si>
    <t>Source</t>
  </si>
  <si>
    <t>Baseline energy consumption for heating</t>
  </si>
  <si>
    <t>kWh/y/m2</t>
  </si>
  <si>
    <t>GIZ Nexus project estimate</t>
  </si>
  <si>
    <t>Baseline energy conversion efficiency</t>
  </si>
  <si>
    <t>%</t>
  </si>
  <si>
    <t>AHURP Project team</t>
  </si>
  <si>
    <t>Percentage lignite in baseline fuel mix</t>
  </si>
  <si>
    <r>
      <t xml:space="preserve">AHURP Project team </t>
    </r>
    <r>
      <rPr>
        <i/>
        <sz val="6"/>
        <color theme="1"/>
        <rFont val="Calibri"/>
        <family val="2"/>
      </rPr>
      <t>65</t>
    </r>
  </si>
  <si>
    <t>Percentage coal in baseline fuel mix</t>
  </si>
  <si>
    <t>Lignite CO2 emission factor</t>
  </si>
  <si>
    <t>tCO2/TJ</t>
  </si>
  <si>
    <r>
      <t xml:space="preserve">IPCC Default </t>
    </r>
    <r>
      <rPr>
        <i/>
        <sz val="6"/>
        <color theme="1"/>
        <rFont val="Calibri"/>
        <family val="2"/>
      </rPr>
      <t>66</t>
    </r>
  </si>
  <si>
    <t>Coal CO2 emission factor</t>
  </si>
  <si>
    <t>AHURP energy consumption for heating</t>
  </si>
  <si>
    <t>AHURP Project team (as per actual design)</t>
  </si>
  <si>
    <t>AHURP energy conversion efficiency</t>
  </si>
  <si>
    <r>
      <t xml:space="preserve">Project Facilities </t>
    </r>
    <r>
      <rPr>
        <i/>
        <sz val="6"/>
        <color theme="1"/>
        <rFont val="Calibri"/>
        <family val="2"/>
      </rPr>
      <t>67</t>
    </r>
  </si>
  <si>
    <t>Percentage lignite in AHURP fuel mix</t>
  </si>
  <si>
    <t>Project Facilities</t>
  </si>
  <si>
    <t>Percentage coal in AHURP fuel mix</t>
  </si>
  <si>
    <t>Heated area (baseline, AHURP scenario)</t>
  </si>
  <si>
    <t>m2</t>
  </si>
  <si>
    <t>based on AHURP Phase 1 design.</t>
  </si>
  <si>
    <t>Conversion factor for kWh to KJ</t>
  </si>
  <si>
    <t>kJ</t>
  </si>
  <si>
    <t>conversion factor</t>
  </si>
  <si>
    <t>No</t>
  </si>
  <si>
    <t>Calculation Step</t>
  </si>
  <si>
    <t>Value</t>
  </si>
  <si>
    <t>Description</t>
  </si>
  <si>
    <t>Application</t>
  </si>
  <si>
    <t>Baseline emissions per m2 heated</t>
  </si>
  <si>
    <t>Baseline calculation of emissions (Lignite Based)</t>
  </si>
  <si>
    <t>tCO2e/m2</t>
  </si>
  <si>
    <t>((Baseline energy consumption for heating * (3.6 / 1,000,000)) / Baseline energy conversion efficiency ) * (Percentage lignite in baseline fuel mix * Lignite CO2 emission factor)</t>
  </si>
  <si>
    <t>((395*(0.0000036)/50%)*(50%*101) = 0.1436</t>
  </si>
  <si>
    <t>Baseline calculation of emissions (Coal Based)</t>
  </si>
  <si>
    <t>((Baseline energy consumption for heating * (3.6 / 1,000,000))/ Baseline energy conversion efficiency ) *(Percentage coal in baseline fuel mix * coal CO2 emission factor)</t>
  </si>
  <si>
    <t>((395*(0.0000036)/50%)*(50%*94.6) = 0.1345</t>
  </si>
  <si>
    <t>Total Baseline Emissions per m2 heated</t>
  </si>
  <si>
    <t>Baseline calculation of emissions (Lignite Based) + Baseline calculation of emissions (Coal Based)</t>
  </si>
  <si>
    <t>0.1436 + 0.1345 = 0.2781</t>
  </si>
  <si>
    <t>AHURP emissions per m2 heated</t>
  </si>
  <si>
    <t>AHURP calculation of emissions (Lignite Based)</t>
  </si>
  <si>
    <t>((AHURP energy consumption for heating * (3.6 / 1,000,000)) / AHURP energy conversion efficiency ) * (Percentage lignite in baseline fuel mix * Lignite CO2 emission factor)</t>
  </si>
  <si>
    <t>((104.9*(0.0000036)/65%)*(0%*101) = 0.000</t>
  </si>
  <si>
    <t>AHURP calculation of emissions (Coal Based)</t>
  </si>
  <si>
    <t>((AHURP energy consumption for heating * (3.6 / 1,000,000))/ AHURP energy conversion efficiency ) *(Percentage coal in baseline fuel mix * coal CO2 emission factor)</t>
  </si>
  <si>
    <t>((104.9*(0.0000036)/65%)*(100%*94.6) = 0.0550</t>
  </si>
  <si>
    <t>Total AHURP Emissions per m2 heated</t>
  </si>
  <si>
    <t>AHURP calculation of emissions (Lignite Based) + AHURP calculation of emissions (Coal Based)</t>
  </si>
  <si>
    <t>0.000 + 0.0550 = 0.0550</t>
  </si>
  <si>
    <t>GHG emission reductions from passive and active strategies</t>
  </si>
  <si>
    <t>Yearly GHG Emission Reduction from passive and active strategies</t>
  </si>
  <si>
    <t>tCO2e/year</t>
  </si>
  <si>
    <t>(Total Baseline Emissions per m2 heated - Total AHURP Emissions per m2 heated)*Heated area</t>
  </si>
  <si>
    <r>
      <t xml:space="preserve">(0.2781-0.055)*364,546= </t>
    </r>
    <r>
      <rPr>
        <b/>
        <sz val="10"/>
        <rFont val="Calibri"/>
        <family val="2"/>
      </rPr>
      <t>81,330</t>
    </r>
  </si>
  <si>
    <t>Lifetime GHG emission reductions are calculated assuming a lifetime of 40 years</t>
  </si>
  <si>
    <t>tCO2e</t>
  </si>
  <si>
    <t>Yearly GHG Emission Reduction from passive and active strategies*40</t>
  </si>
  <si>
    <r>
      <t xml:space="preserve">48,713*40 = </t>
    </r>
    <r>
      <rPr>
        <b/>
        <sz val="10"/>
        <color theme="1"/>
        <rFont val="Calibri"/>
        <family val="2"/>
      </rPr>
      <t>3,238,527</t>
    </r>
  </si>
  <si>
    <t>Table 3. Calculation of heated area, m2</t>
  </si>
  <si>
    <t>Heated area (sqm)</t>
  </si>
  <si>
    <t>Total area, m2</t>
  </si>
  <si>
    <t>Residential, m2</t>
  </si>
  <si>
    <t>Commercial, m2</t>
  </si>
  <si>
    <t>Garage, m2</t>
  </si>
  <si>
    <t>-</t>
  </si>
  <si>
    <t>B13-3</t>
  </si>
  <si>
    <t xml:space="preserve">Output II </t>
  </si>
  <si>
    <t>Table 4. Emission reduction calculation with better insulation, tCO2e</t>
  </si>
  <si>
    <t>better insulation coefficient</t>
  </si>
  <si>
    <t>Site</t>
  </si>
  <si>
    <t>Total, m2</t>
  </si>
  <si>
    <t>Yearly GHG / year</t>
  </si>
  <si>
    <t>GHG / 40 years</t>
  </si>
  <si>
    <t>Total (826+4188)</t>
  </si>
  <si>
    <t>Table 5. Emission reduction difference, tCO2e/y</t>
  </si>
  <si>
    <t>regular insulation coefficient</t>
  </si>
  <si>
    <t>AHURP (Initial 10k)</t>
  </si>
  <si>
    <t>UPDATE (4988 unit)</t>
  </si>
  <si>
    <t>Area, m2</t>
  </si>
  <si>
    <t>GHG, tCO2e/y</t>
  </si>
  <si>
    <t>Table 6. Reference calculation for GHG emission from water saving</t>
  </si>
  <si>
    <t>Year wise electricity consumption</t>
  </si>
  <si>
    <t>kWh</t>
  </si>
  <si>
    <t>USUG Calculation</t>
  </si>
  <si>
    <t>Potable Water Consumption</t>
  </si>
  <si>
    <t>million cubic meter</t>
  </si>
  <si>
    <t>Water Water Generated</t>
  </si>
  <si>
    <t>Energy Consumption for Water Extraction</t>
  </si>
  <si>
    <t>kWh/cubic meter</t>
  </si>
  <si>
    <t>Energy Consumption for Water Distribution</t>
  </si>
  <si>
    <t>Energy Consumption for Waste Water Collection &amp; Treatment</t>
  </si>
  <si>
    <t>Fuel for the 1 trip of water transportation truck to ger area</t>
  </si>
  <si>
    <t>Litre</t>
  </si>
  <si>
    <t>Total Diesel Consumption</t>
  </si>
  <si>
    <t>Percentage share of vehicle - Diesel</t>
  </si>
  <si>
    <t>Total A-80 Benzene Consumption</t>
  </si>
  <si>
    <t>Percentage share of vehicle - A-80 Benzene</t>
  </si>
  <si>
    <t>Electricity Emission Factor</t>
  </si>
  <si>
    <t>tCO2e per MWh</t>
  </si>
  <si>
    <t>https://cdm.unfccc.int/sunsetcms/storage/contents/stored-file-20180718120947843/ASB0039-2018_PSB0041.pdf</t>
  </si>
  <si>
    <t>Diesel Emission factor</t>
  </si>
  <si>
    <t>kg/litre</t>
  </si>
  <si>
    <t>https://ghgprotocol.org/sites/default/files/Emission_Factors_from_Cross_Sector_Tools_March_2017.xlsx</t>
  </si>
  <si>
    <t>Gasoline Emission Factor</t>
  </si>
  <si>
    <t>Total Floor Area of Building ABCD as per Edge App</t>
  </si>
  <si>
    <t>from Edge App</t>
  </si>
  <si>
    <t>Baseline Water Demand</t>
  </si>
  <si>
    <t>cu. m. per month</t>
  </si>
  <si>
    <t>Actual Water Demand</t>
  </si>
  <si>
    <t>based on AHURP phase 1 design</t>
  </si>
  <si>
    <t>Table 7. GHG emission reduction from water saving, tCO2e</t>
  </si>
  <si>
    <t>S.No</t>
  </si>
  <si>
    <t>Total Electrical Carbon Emission</t>
  </si>
  <si>
    <t>(Yearwise electricity consumption*Electricity Emission Factor)/1000</t>
  </si>
  <si>
    <t>(66,500,000*0.884)/1000 = 58,786</t>
  </si>
  <si>
    <t>(66,900,000*0.884)/1000 = 59,139</t>
  </si>
  <si>
    <t>Total Fuel Carbon Emission</t>
  </si>
  <si>
    <t>((Total Diesel Consumption*Diesel Emission Factor)+(Total A-80 Benzene Consumption*Gasoline Emission Factor))/1000</t>
  </si>
  <si>
    <t>((380,288*2.67)+(228,173*2.27))/1000 = 1533.32</t>
  </si>
  <si>
    <t>((327,961*2.67)+(196,777*2.27))/1000 = 1322.34</t>
  </si>
  <si>
    <t>Total Carbon Emissions</t>
  </si>
  <si>
    <t>Total Electrical Carbon Emission + Total Fuel Carbon Emission</t>
  </si>
  <si>
    <t>58,786+1,533.32 = 60,319.32</t>
  </si>
  <si>
    <t>59,139.60+1322.34 = 60,461.94</t>
  </si>
  <si>
    <t>Carbon Emission per cubic meter of water supplied</t>
  </si>
  <si>
    <t>kgCO2e/cu. m.</t>
  </si>
  <si>
    <t>(Total Carbon Emissions*1000)/(Potable Water Consumption*1000000)</t>
  </si>
  <si>
    <t>(60,319.32*1000)/(56.9*1000000) = 1.060</t>
  </si>
  <si>
    <t>(60,461.94*1000)/(57.4*1000000) = 1.053</t>
  </si>
  <si>
    <t>Average Carbon Emission per cubic meter of water supplied</t>
  </si>
  <si>
    <t>(Carbon Emission per cubic meter of water supplied 2021 + Carbon Emission per cubic meter of water supplied 2022)/2</t>
  </si>
  <si>
    <t>(1.060+1.053)/2 = 1.057</t>
  </si>
  <si>
    <t>Yearly Water Savings from Edge App</t>
  </si>
  <si>
    <t>cu. m./m2/year</t>
  </si>
  <si>
    <t>((Baseline Water Demand - Actual Water Demand) * 12)/Total Floor Area of Building ABCD as per Edge App</t>
  </si>
  <si>
    <t>((1490-1095)*12)/6763.87=0.70</t>
  </si>
  <si>
    <t>Yearly Carbon Emission Reduction from Water Savings</t>
  </si>
  <si>
    <t>( Average Carbon Emission per cubic meter of water supplied*Heated area (baseline, AHURP scenario*Yearly Water Savings from Edge App))/1000</t>
  </si>
  <si>
    <t>(1.057*364,546*0.7)/1000 = 269.7</t>
  </si>
  <si>
    <t>Yearly Carbon Emission Reduction from Water Savings*40</t>
  </si>
  <si>
    <t>269.7*40 = 10,789</t>
  </si>
  <si>
    <t>Table 8. GHG emission reduction from water saving, tCO2e</t>
  </si>
  <si>
    <t>units</t>
  </si>
  <si>
    <t>area, m2</t>
  </si>
  <si>
    <t>Water saving tCO2e/y</t>
  </si>
  <si>
    <t>Water saving tCO2e/40y</t>
  </si>
  <si>
    <t xml:space="preserve">Total </t>
  </si>
  <si>
    <t xml:space="preserve">Table 9. Quantity and capacity of LED lights per building at the B15 site </t>
  </si>
  <si>
    <t>number of building at B15 site</t>
  </si>
  <si>
    <t>Outdoor lights per building</t>
  </si>
  <si>
    <t>B15 q'ty</t>
  </si>
  <si>
    <t>q'ty / build</t>
  </si>
  <si>
    <t>P, Watt</t>
  </si>
  <si>
    <t>Total P, Watt</t>
  </si>
  <si>
    <t>LED road light h=6.5м</t>
  </si>
  <si>
    <t>LED bicycle road light h=3.5м</t>
  </si>
  <si>
    <t>LED street, коб лэд</t>
  </si>
  <si>
    <t>Indoor lights per building</t>
  </si>
  <si>
    <t>Indoor LED light</t>
  </si>
  <si>
    <t>LED small light</t>
  </si>
  <si>
    <t>TOTAL Installed power per building</t>
  </si>
  <si>
    <t>Table 10. GHG emission reduction of LED lights, tC02e/MWh</t>
  </si>
  <si>
    <t>LED outdoor lights</t>
  </si>
  <si>
    <t>Housing units</t>
  </si>
  <si>
    <t>unit</t>
  </si>
  <si>
    <t xml:space="preserve">Installed power </t>
  </si>
  <si>
    <t>Wattage</t>
  </si>
  <si>
    <t>Daily operation hours</t>
  </si>
  <si>
    <t>hr/day</t>
  </si>
  <si>
    <t>Electricity consumption / Year</t>
  </si>
  <si>
    <t>MWh/y</t>
  </si>
  <si>
    <t xml:space="preserve">Convert LED to HPS by 50% higher, MWh/y </t>
  </si>
  <si>
    <t>LED saving</t>
  </si>
  <si>
    <t xml:space="preserve">Electricity tC02e/ 
average emission </t>
  </si>
  <si>
    <t>tC02e/MWh</t>
  </si>
  <si>
    <t>Table 11. Lifetime GHG emission reduction of LED lights, tC02e</t>
  </si>
  <si>
    <t>Installed power, MW</t>
  </si>
  <si>
    <t>Daily operation MWhours (6h)</t>
  </si>
  <si>
    <t>Consumption MWh/y (365d)</t>
  </si>
  <si>
    <t>Output II - Option 1.</t>
  </si>
  <si>
    <t>Output II - Option 2.</t>
  </si>
  <si>
    <t>https://www.researchgate.net/publication/286585388_LED_street_lighting_as_a_strategy_for_climate_change_mitigation_at_local_government_level</t>
  </si>
  <si>
    <t>Table 12.GHG emission reduction by embodied energy, tCO2</t>
  </si>
  <si>
    <t>Embodied GHG factor</t>
  </si>
  <si>
    <t>tCO2/building</t>
  </si>
  <si>
    <t xml:space="preserve">Output I </t>
  </si>
  <si>
    <t>tCO2/25building</t>
  </si>
  <si>
    <t>tCO2/110 building</t>
  </si>
  <si>
    <t>tCO2/1y</t>
  </si>
  <si>
    <t>tCO2/40y</t>
  </si>
  <si>
    <t xml:space="preserve">Table 13. A total GHG emission reduction per year, tCO2e </t>
  </si>
  <si>
    <t>Items</t>
  </si>
  <si>
    <t xml:space="preserve">Original </t>
  </si>
  <si>
    <t>Output 1</t>
  </si>
  <si>
    <t>Output 2</t>
  </si>
  <si>
    <t>Units</t>
  </si>
  <si>
    <t>A</t>
  </si>
  <si>
    <t>B</t>
  </si>
  <si>
    <t>A+B</t>
  </si>
  <si>
    <t>housing units</t>
  </si>
  <si>
    <t>Solar PV</t>
  </si>
  <si>
    <t>tCO2 e/ 1 year</t>
  </si>
  <si>
    <t>Insulation</t>
  </si>
  <si>
    <t>Embodied</t>
  </si>
  <si>
    <t>n/a</t>
  </si>
  <si>
    <t>LED lights</t>
  </si>
  <si>
    <t xml:space="preserve">Water </t>
  </si>
  <si>
    <t>TOTAL</t>
  </si>
  <si>
    <t xml:space="preserve">Table 14. Lifetime GHG emission reduction, tCO2e  </t>
  </si>
  <si>
    <t>Lifetime [years]</t>
  </si>
  <si>
    <t>Original</t>
  </si>
  <si>
    <t>tCO2 (25y)</t>
  </si>
  <si>
    <t>tCO2 (40y)</t>
  </si>
  <si>
    <t>tCO2 (1st yr )</t>
  </si>
  <si>
    <t>Solar PV (is only for 800+2200=3000 units)</t>
  </si>
  <si>
    <t>Output 2. 38pcs/build</t>
  </si>
  <si>
    <t>Solar PV system</t>
  </si>
  <si>
    <t>FS</t>
  </si>
  <si>
    <t>Ass report</t>
  </si>
  <si>
    <t>PV, kWp</t>
  </si>
  <si>
    <t>Selbe</t>
  </si>
  <si>
    <t>NREL, PVwatts</t>
  </si>
  <si>
    <t>E prod [MWh]</t>
  </si>
  <si>
    <t>Yearly GHG</t>
  </si>
  <si>
    <t xml:space="preserve"> GHG 25 years</t>
  </si>
  <si>
    <t>Heated area, m2</t>
  </si>
  <si>
    <t>CO2 reduction</t>
  </si>
  <si>
    <t>Project Output/</t>
  </si>
  <si>
    <t>Component</t>
  </si>
  <si>
    <t xml:space="preserve">Project subcomponent </t>
  </si>
  <si>
    <t xml:space="preserve">% Change </t>
  </si>
  <si>
    <t>Remarks</t>
  </si>
  <si>
    <t>(as applicable)[1]</t>
  </si>
  <si>
    <t>Photovoltaic solar panels</t>
  </si>
  <si>
    <t>No longer needed for solar panels and will be added to the FIL component under Output 2 (Loan Agreement 8348)</t>
  </si>
  <si>
    <t>All Works Except Photovoltaic Solar Panels</t>
  </si>
  <si>
    <t>To reallocate USD 3,43 million from performance-based grants for eco-district climate change (greenhouse) under Output 2, will be used for greenhouse and EE technologies for social housing under Output 1</t>
  </si>
  <si>
    <t>Financial Intermediary</t>
  </si>
  <si>
    <t>To increase by USD 15,580,000.00 to be reallocated from Works Work (Photovoltaic solar panels) under Output 2 (Loan Agreement 8348)</t>
  </si>
  <si>
    <t>Performance based grants for eco-district climate change (greenhouse)</t>
  </si>
  <si>
    <r>
      <t>·</t>
    </r>
    <r>
      <rPr>
        <sz val="7"/>
        <color rgb="FF000000"/>
        <rFont val="Times New Roman"/>
        <family val="1"/>
      </rPr>
      <t xml:space="preserve">   </t>
    </r>
    <r>
      <rPr>
        <i/>
        <sz val="10"/>
        <color rgb="FF000000"/>
        <rFont val="Cambria"/>
        <family val="1"/>
      </rPr>
      <t xml:space="preserve">USD 3,43 million to be reallocated for greenhouse and EE technologies for social housing under Output 1; </t>
    </r>
  </si>
  <si>
    <r>
      <t>·</t>
    </r>
    <r>
      <rPr>
        <sz val="7"/>
        <color rgb="FF000000"/>
        <rFont val="Times New Roman"/>
        <family val="1"/>
      </rPr>
      <t xml:space="preserve">   </t>
    </r>
    <r>
      <rPr>
        <i/>
        <sz val="10"/>
        <color rgb="FF000000"/>
        <rFont val="Cambria"/>
        <family val="1"/>
      </rPr>
      <t>USD 4,37 million to be reallocated for greenhouse and EE technologies for affordable housing under Output 2</t>
    </r>
  </si>
  <si>
    <t>To increase by USD 4,37 million to be reallocated from performance-based grants for eco-district climate change (greenhouse)</t>
  </si>
  <si>
    <t>Output/
Component 1</t>
  </si>
  <si>
    <t>Output/
Component 2</t>
  </si>
  <si>
    <t>Performance based grants for eco-district climate change (insulation)</t>
  </si>
  <si>
    <t>Current Budget Allocation (in USD)</t>
  </si>
  <si>
    <t>Proposed Budget Allocation (in USD)</t>
  </si>
  <si>
    <t>Difference 
(in 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</si>
</sst>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_(* #,##0.000_);_(* \(#,##0.000\);_(* &quot;-&quot;??_);_(@_)"/>
    <numFmt numFmtId="168" formatCode="_([$$-409]* #,##0_);_([$$-409]* \(#,##0\);_([$$-409]* &quot;-&quot;??_);_(@_)"/>
  </numFmts>
  <fonts count="4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4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  <family val="2"/>
    </font>
    <font>
      <sz val="14"/>
      <color theme="1"/>
      <name val="Calibri"/>
      <family val="2"/>
      <charset val="1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</font>
    <font>
      <i/>
      <sz val="6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i/>
      <sz val="10"/>
      <color rgb="FFF2F2F2"/>
      <name val="Cambria"/>
      <family val="1"/>
    </font>
    <font>
      <i/>
      <sz val="10"/>
      <color rgb="FFF2F2F2"/>
      <name val="Cambria"/>
      <family val="1"/>
    </font>
    <font>
      <i/>
      <sz val="10"/>
      <color rgb="FF000000"/>
      <name val="Cambria"/>
      <family val="1"/>
    </font>
    <font>
      <sz val="10"/>
      <color rgb="FF000000"/>
      <name val="Symbol"/>
      <family val="1"/>
      <charset val="2"/>
    </font>
    <font>
      <sz val="7"/>
      <color rgb="FF000000"/>
      <name val="Times New Roman"/>
      <family val="1"/>
    </font>
    <font>
      <u/>
      <sz val="11"/>
      <color theme="10"/>
      <name val="Calibri"/>
      <family val="2"/>
      <charset val="1"/>
      <scheme val="minor"/>
    </font>
    <font>
      <b/>
      <sz val="10"/>
      <color rgb="FFF2F2F2"/>
      <name val="Cambria"/>
      <family val="1"/>
    </font>
    <font>
      <sz val="10"/>
      <color rgb="FFF2F2F2"/>
      <name val="Cambria"/>
      <family val="1"/>
    </font>
    <font>
      <sz val="10"/>
      <color rgb="FF000000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205968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3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1" xfId="0" applyBorder="1"/>
    <xf numFmtId="0" fontId="0" fillId="2" borderId="1" xfId="0" applyFill="1" applyBorder="1"/>
    <xf numFmtId="166" fontId="0" fillId="0" borderId="0" xfId="1" applyNumberFormat="1" applyFont="1"/>
    <xf numFmtId="0" fontId="3" fillId="0" borderId="0" xfId="0" applyFont="1"/>
    <xf numFmtId="166" fontId="0" fillId="0" borderId="1" xfId="1" applyNumberFormat="1" applyFont="1" applyBorder="1"/>
    <xf numFmtId="43" fontId="0" fillId="0" borderId="0" xfId="0" applyNumberFormat="1"/>
    <xf numFmtId="165" fontId="0" fillId="0" borderId="1" xfId="1" applyNumberFormat="1" applyFont="1" applyBorder="1"/>
    <xf numFmtId="0" fontId="8" fillId="0" borderId="0" xfId="0" applyFont="1"/>
    <xf numFmtId="0" fontId="11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3" fillId="7" borderId="1" xfId="0" applyFont="1" applyFill="1" applyBorder="1"/>
    <xf numFmtId="0" fontId="0" fillId="7" borderId="1" xfId="0" applyFill="1" applyBorder="1"/>
    <xf numFmtId="0" fontId="0" fillId="5" borderId="1" xfId="0" applyFill="1" applyBorder="1"/>
    <xf numFmtId="166" fontId="0" fillId="0" borderId="0" xfId="1" applyNumberFormat="1" applyFont="1" applyBorder="1"/>
    <xf numFmtId="0" fontId="9" fillId="6" borderId="1" xfId="0" applyFont="1" applyFill="1" applyBorder="1" applyAlignment="1">
      <alignment horizontal="center" vertical="center" wrapText="1"/>
    </xf>
    <xf numFmtId="166" fontId="11" fillId="0" borderId="1" xfId="1" applyNumberFormat="1" applyFont="1" applyBorder="1" applyAlignment="1">
      <alignment horizontal="right" vertical="center" wrapText="1"/>
    </xf>
    <xf numFmtId="166" fontId="10" fillId="0" borderId="1" xfId="1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3" fillId="6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vertical="center"/>
    </xf>
    <xf numFmtId="0" fontId="6" fillId="6" borderId="5" xfId="0" applyFont="1" applyFill="1" applyBorder="1" applyAlignment="1">
      <alignment vertical="center"/>
    </xf>
    <xf numFmtId="0" fontId="0" fillId="6" borderId="1" xfId="0" applyFill="1" applyBorder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/>
    </xf>
    <xf numFmtId="0" fontId="15" fillId="0" borderId="1" xfId="0" applyFont="1" applyBorder="1"/>
    <xf numFmtId="1" fontId="15" fillId="0" borderId="1" xfId="0" applyNumberFormat="1" applyFont="1" applyBorder="1"/>
    <xf numFmtId="0" fontId="0" fillId="0" borderId="0" xfId="0" applyAlignment="1">
      <alignment horizontal="right"/>
    </xf>
    <xf numFmtId="0" fontId="15" fillId="0" borderId="1" xfId="0" applyFont="1" applyBorder="1" applyAlignment="1">
      <alignment horizontal="right" vertical="center" wrapText="1"/>
    </xf>
    <xf numFmtId="0" fontId="7" fillId="8" borderId="1" xfId="0" applyFont="1" applyFill="1" applyBorder="1"/>
    <xf numFmtId="0" fontId="7" fillId="8" borderId="1" xfId="0" applyFont="1" applyFill="1" applyBorder="1" applyAlignment="1">
      <alignment horizontal="right"/>
    </xf>
    <xf numFmtId="0" fontId="15" fillId="8" borderId="1" xfId="0" applyFont="1" applyFill="1" applyBorder="1"/>
    <xf numFmtId="1" fontId="15" fillId="8" borderId="1" xfId="0" applyNumberFormat="1" applyFont="1" applyFill="1" applyBorder="1"/>
    <xf numFmtId="0" fontId="16" fillId="0" borderId="0" xfId="0" applyFont="1"/>
    <xf numFmtId="0" fontId="9" fillId="6" borderId="4" xfId="0" applyFont="1" applyFill="1" applyBorder="1" applyAlignment="1">
      <alignment horizontal="center" vertical="center" wrapText="1"/>
    </xf>
    <xf numFmtId="166" fontId="11" fillId="0" borderId="1" xfId="1" applyNumberFormat="1" applyFont="1" applyBorder="1" applyAlignment="1">
      <alignment vertical="center" wrapText="1"/>
    </xf>
    <xf numFmtId="166" fontId="10" fillId="0" borderId="1" xfId="1" applyNumberFormat="1" applyFont="1" applyBorder="1" applyAlignment="1">
      <alignment horizontal="center" vertical="center" wrapText="1"/>
    </xf>
    <xf numFmtId="166" fontId="3" fillId="0" borderId="1" xfId="1" applyNumberFormat="1" applyFont="1" applyBorder="1"/>
    <xf numFmtId="0" fontId="17" fillId="5" borderId="1" xfId="0" applyFont="1" applyFill="1" applyBorder="1" applyAlignment="1">
      <alignment horizontal="center" vertical="center"/>
    </xf>
    <xf numFmtId="166" fontId="3" fillId="0" borderId="1" xfId="0" applyNumberFormat="1" applyFont="1" applyBorder="1"/>
    <xf numFmtId="1" fontId="0" fillId="0" borderId="1" xfId="0" applyNumberFormat="1" applyBorder="1"/>
    <xf numFmtId="1" fontId="1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right" vertical="center" wrapText="1"/>
    </xf>
    <xf numFmtId="166" fontId="11" fillId="5" borderId="1" xfId="1" applyNumberFormat="1" applyFont="1" applyFill="1" applyBorder="1" applyAlignment="1">
      <alignment horizontal="right" vertical="center" wrapText="1"/>
    </xf>
    <xf numFmtId="1" fontId="11" fillId="5" borderId="1" xfId="0" applyNumberFormat="1" applyFont="1" applyFill="1" applyBorder="1" applyAlignment="1">
      <alignment horizontal="right" vertical="center" wrapText="1"/>
    </xf>
    <xf numFmtId="166" fontId="11" fillId="5" borderId="1" xfId="1" applyNumberFormat="1" applyFont="1" applyFill="1" applyBorder="1" applyAlignment="1">
      <alignment horizontal="center" vertical="center" wrapText="1"/>
    </xf>
    <xf numFmtId="166" fontId="6" fillId="5" borderId="1" xfId="0" applyNumberFormat="1" applyFont="1" applyFill="1" applyBorder="1"/>
    <xf numFmtId="0" fontId="11" fillId="5" borderId="1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center" wrapText="1"/>
    </xf>
    <xf numFmtId="1" fontId="0" fillId="2" borderId="1" xfId="0" applyNumberFormat="1" applyFill="1" applyBorder="1"/>
    <xf numFmtId="165" fontId="0" fillId="2" borderId="1" xfId="1" applyNumberFormat="1" applyFont="1" applyFill="1" applyBorder="1"/>
    <xf numFmtId="0" fontId="17" fillId="5" borderId="1" xfId="0" applyFont="1" applyFill="1" applyBorder="1" applyAlignment="1">
      <alignment horizontal="center" vertical="center" wrapText="1"/>
    </xf>
    <xf numFmtId="165" fontId="0" fillId="9" borderId="1" xfId="1" applyNumberFormat="1" applyFont="1" applyFill="1" applyBorder="1"/>
    <xf numFmtId="0" fontId="10" fillId="6" borderId="1" xfId="0" applyFont="1" applyFill="1" applyBorder="1" applyAlignment="1">
      <alignment vertical="center" wrapText="1"/>
    </xf>
    <xf numFmtId="1" fontId="10" fillId="6" borderId="1" xfId="0" applyNumberFormat="1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horizontal="right" vertical="center" wrapText="1"/>
    </xf>
    <xf numFmtId="166" fontId="10" fillId="6" borderId="1" xfId="1" applyNumberFormat="1" applyFont="1" applyFill="1" applyBorder="1" applyAlignment="1">
      <alignment horizontal="right" vertical="center" wrapText="1"/>
    </xf>
    <xf numFmtId="166" fontId="10" fillId="6" borderId="1" xfId="1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6" fillId="6" borderId="1" xfId="0" applyFont="1" applyFill="1" applyBorder="1"/>
    <xf numFmtId="165" fontId="6" fillId="6" borderId="1" xfId="1" applyNumberFormat="1" applyFont="1" applyFill="1" applyBorder="1"/>
    <xf numFmtId="165" fontId="3" fillId="6" borderId="1" xfId="1" applyNumberFormat="1" applyFont="1" applyFill="1" applyBorder="1"/>
    <xf numFmtId="0" fontId="0" fillId="8" borderId="1" xfId="0" applyFill="1" applyBorder="1"/>
    <xf numFmtId="0" fontId="3" fillId="8" borderId="1" xfId="0" applyFont="1" applyFill="1" applyBorder="1"/>
    <xf numFmtId="166" fontId="3" fillId="8" borderId="1" xfId="1" applyNumberFormat="1" applyFont="1" applyFill="1" applyBorder="1"/>
    <xf numFmtId="0" fontId="17" fillId="8" borderId="1" xfId="0" applyFont="1" applyFill="1" applyBorder="1" applyAlignment="1">
      <alignment horizontal="center" vertical="center" wrapText="1"/>
    </xf>
    <xf numFmtId="166" fontId="0" fillId="2" borderId="1" xfId="1" applyNumberFormat="1" applyFont="1" applyFill="1" applyBorder="1"/>
    <xf numFmtId="166" fontId="3" fillId="0" borderId="0" xfId="0" applyNumberFormat="1" applyFont="1"/>
    <xf numFmtId="166" fontId="3" fillId="0" borderId="0" xfId="1" applyNumberFormat="1" applyFont="1"/>
    <xf numFmtId="43" fontId="3" fillId="0" borderId="0" xfId="1" applyFont="1"/>
    <xf numFmtId="0" fontId="19" fillId="8" borderId="1" xfId="0" applyFont="1" applyFill="1" applyBorder="1"/>
    <xf numFmtId="0" fontId="19" fillId="0" borderId="1" xfId="0" applyFont="1" applyBorder="1"/>
    <xf numFmtId="166" fontId="19" fillId="0" borderId="1" xfId="1" applyNumberFormat="1" applyFont="1" applyBorder="1"/>
    <xf numFmtId="0" fontId="20" fillId="8" borderId="1" xfId="0" applyFont="1" applyFill="1" applyBorder="1" applyAlignment="1">
      <alignment horizontal="left" vertical="center" wrapText="1"/>
    </xf>
    <xf numFmtId="1" fontId="19" fillId="0" borderId="1" xfId="0" applyNumberFormat="1" applyFont="1" applyBorder="1"/>
    <xf numFmtId="1" fontId="19" fillId="2" borderId="1" xfId="0" applyNumberFormat="1" applyFont="1" applyFill="1" applyBorder="1"/>
    <xf numFmtId="0" fontId="19" fillId="2" borderId="1" xfId="0" applyFont="1" applyFill="1" applyBorder="1"/>
    <xf numFmtId="0" fontId="19" fillId="0" borderId="1" xfId="0" applyFont="1" applyBorder="1" applyAlignment="1">
      <alignment horizontal="right"/>
    </xf>
    <xf numFmtId="0" fontId="19" fillId="0" borderId="1" xfId="0" applyFont="1" applyBorder="1" applyAlignment="1">
      <alignment horizontal="right" wrapText="1"/>
    </xf>
    <xf numFmtId="166" fontId="21" fillId="4" borderId="0" xfId="0" applyNumberFormat="1" applyFont="1" applyFill="1"/>
    <xf numFmtId="1" fontId="0" fillId="0" borderId="0" xfId="0" applyNumberFormat="1"/>
    <xf numFmtId="10" fontId="14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" fontId="3" fillId="8" borderId="1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0" fontId="18" fillId="0" borderId="0" xfId="0" applyFont="1"/>
    <xf numFmtId="166" fontId="0" fillId="0" borderId="0" xfId="1" applyNumberFormat="1" applyFont="1" applyFill="1" applyBorder="1"/>
    <xf numFmtId="165" fontId="0" fillId="0" borderId="1" xfId="0" applyNumberFormat="1" applyBorder="1"/>
    <xf numFmtId="166" fontId="0" fillId="0" borderId="1" xfId="1" applyNumberFormat="1" applyFont="1" applyBorder="1" applyAlignment="1">
      <alignment horizontal="center"/>
    </xf>
    <xf numFmtId="166" fontId="3" fillId="0" borderId="0" xfId="1" applyNumberFormat="1" applyFont="1" applyBorder="1"/>
    <xf numFmtId="43" fontId="3" fillId="0" borderId="0" xfId="1" applyFont="1" applyBorder="1"/>
    <xf numFmtId="0" fontId="19" fillId="3" borderId="1" xfId="0" applyFont="1" applyFill="1" applyBorder="1"/>
    <xf numFmtId="166" fontId="17" fillId="3" borderId="1" xfId="0" applyNumberFormat="1" applyFont="1" applyFill="1" applyBorder="1"/>
    <xf numFmtId="166" fontId="17" fillId="3" borderId="1" xfId="1" applyNumberFormat="1" applyFont="1" applyFill="1" applyBorder="1"/>
    <xf numFmtId="167" fontId="19" fillId="0" borderId="1" xfId="1" applyNumberFormat="1" applyFon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165" fontId="19" fillId="0" borderId="1" xfId="1" applyNumberFormat="1" applyFont="1" applyBorder="1"/>
    <xf numFmtId="165" fontId="17" fillId="6" borderId="1" xfId="1" applyNumberFormat="1" applyFont="1" applyFill="1" applyBorder="1"/>
    <xf numFmtId="0" fontId="19" fillId="6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0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4" xfId="0" applyBorder="1" applyAlignment="1">
      <alignment horizontal="center" vertical="center"/>
    </xf>
    <xf numFmtId="0" fontId="3" fillId="5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7" fillId="7" borderId="2" xfId="0" applyFont="1" applyFill="1" applyBorder="1" applyAlignment="1">
      <alignment horizontal="center" wrapText="1"/>
    </xf>
    <xf numFmtId="0" fontId="17" fillId="7" borderId="1" xfId="0" applyFont="1" applyFill="1" applyBorder="1" applyAlignment="1">
      <alignment horizontal="center" wrapText="1"/>
    </xf>
    <xf numFmtId="0" fontId="17" fillId="5" borderId="1" xfId="0" applyFont="1" applyFill="1" applyBorder="1" applyAlignment="1">
      <alignment wrapText="1"/>
    </xf>
    <xf numFmtId="166" fontId="0" fillId="0" borderId="0" xfId="0" applyNumberFormat="1"/>
    <xf numFmtId="0" fontId="3" fillId="0" borderId="0" xfId="0" applyFont="1" applyAlignment="1">
      <alignment horizontal="center" vertical="center"/>
    </xf>
    <xf numFmtId="43" fontId="0" fillId="0" borderId="1" xfId="0" applyNumberFormat="1" applyBorder="1"/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166" fontId="25" fillId="0" borderId="1" xfId="0" applyNumberFormat="1" applyFont="1" applyBorder="1"/>
    <xf numFmtId="43" fontId="25" fillId="0" borderId="1" xfId="0" applyNumberFormat="1" applyFont="1" applyBorder="1"/>
    <xf numFmtId="0" fontId="3" fillId="8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/>
    </xf>
    <xf numFmtId="166" fontId="19" fillId="0" borderId="1" xfId="1" applyNumberFormat="1" applyFont="1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28" fillId="2" borderId="1" xfId="0" applyFont="1" applyFill="1" applyBorder="1"/>
    <xf numFmtId="166" fontId="29" fillId="0" borderId="1" xfId="1" applyNumberFormat="1" applyFont="1" applyBorder="1" applyAlignment="1">
      <alignment horizontal="right" vertical="center" wrapText="1"/>
    </xf>
    <xf numFmtId="166" fontId="29" fillId="5" borderId="1" xfId="1" applyNumberFormat="1" applyFont="1" applyFill="1" applyBorder="1" applyAlignment="1">
      <alignment horizontal="right" vertical="center" wrapText="1"/>
    </xf>
    <xf numFmtId="0" fontId="29" fillId="5" borderId="1" xfId="0" applyFont="1" applyFill="1" applyBorder="1" applyAlignment="1">
      <alignment horizontal="right" vertical="center" wrapText="1"/>
    </xf>
    <xf numFmtId="166" fontId="29" fillId="5" borderId="1" xfId="1" applyNumberFormat="1" applyFont="1" applyFill="1" applyBorder="1" applyAlignment="1">
      <alignment horizontal="center" vertical="center" wrapText="1"/>
    </xf>
    <xf numFmtId="0" fontId="30" fillId="0" borderId="1" xfId="0" applyFont="1" applyBorder="1"/>
    <xf numFmtId="0" fontId="17" fillId="3" borderId="1" xfId="0" applyFont="1" applyFill="1" applyBorder="1" applyAlignment="1">
      <alignment horizontal="center" vertical="center"/>
    </xf>
    <xf numFmtId="166" fontId="17" fillId="0" borderId="1" xfId="1" applyNumberFormat="1" applyFont="1" applyBorder="1" applyAlignment="1">
      <alignment horizontal="center" vertical="center" wrapText="1"/>
    </xf>
    <xf numFmtId="167" fontId="17" fillId="0" borderId="1" xfId="1" applyNumberFormat="1" applyFont="1" applyBorder="1" applyAlignment="1">
      <alignment horizontal="center" vertical="center"/>
    </xf>
    <xf numFmtId="0" fontId="5" fillId="7" borderId="1" xfId="0" applyFont="1" applyFill="1" applyBorder="1"/>
    <xf numFmtId="1" fontId="3" fillId="7" borderId="1" xfId="0" applyNumberFormat="1" applyFont="1" applyFill="1" applyBorder="1"/>
    <xf numFmtId="166" fontId="3" fillId="7" borderId="1" xfId="0" applyNumberFormat="1" applyFont="1" applyFill="1" applyBorder="1"/>
    <xf numFmtId="166" fontId="3" fillId="7" borderId="1" xfId="0" applyNumberFormat="1" applyFont="1" applyFill="1" applyBorder="1" applyAlignment="1">
      <alignment horizontal="right"/>
    </xf>
    <xf numFmtId="0" fontId="32" fillId="0" borderId="1" xfId="0" applyFont="1" applyBorder="1" applyAlignment="1">
      <alignment horizontal="right"/>
    </xf>
    <xf numFmtId="0" fontId="32" fillId="0" borderId="1" xfId="0" applyFont="1" applyBorder="1" applyAlignment="1">
      <alignment horizontal="center"/>
    </xf>
    <xf numFmtId="0" fontId="25" fillId="10" borderId="1" xfId="0" applyFont="1" applyFill="1" applyBorder="1" applyAlignment="1">
      <alignment horizontal="center" vertical="top"/>
    </xf>
    <xf numFmtId="0" fontId="25" fillId="10" borderId="1" xfId="0" applyFont="1" applyFill="1" applyBorder="1" applyAlignment="1">
      <alignment horizontal="center"/>
    </xf>
    <xf numFmtId="166" fontId="17" fillId="7" borderId="1" xfId="0" applyNumberFormat="1" applyFont="1" applyFill="1" applyBorder="1" applyAlignment="1">
      <alignment horizontal="center"/>
    </xf>
    <xf numFmtId="166" fontId="19" fillId="0" borderId="1" xfId="0" applyNumberFormat="1" applyFont="1" applyBorder="1" applyAlignment="1">
      <alignment horizontal="center"/>
    </xf>
    <xf numFmtId="166" fontId="33" fillId="0" borderId="1" xfId="1" applyNumberFormat="1" applyFont="1" applyBorder="1" applyAlignment="1">
      <alignment horizontal="right"/>
    </xf>
    <xf numFmtId="166" fontId="32" fillId="0" borderId="1" xfId="1" applyNumberFormat="1" applyFont="1" applyBorder="1"/>
    <xf numFmtId="166" fontId="32" fillId="7" borderId="1" xfId="1" applyNumberFormat="1" applyFont="1" applyFill="1" applyBorder="1" applyAlignment="1">
      <alignment horizontal="right"/>
    </xf>
    <xf numFmtId="166" fontId="30" fillId="0" borderId="1" xfId="0" applyNumberFormat="1" applyFont="1" applyBorder="1" applyAlignment="1">
      <alignment horizontal="center"/>
    </xf>
    <xf numFmtId="166" fontId="32" fillId="0" borderId="1" xfId="1" applyNumberFormat="1" applyFont="1" applyBorder="1" applyAlignment="1"/>
    <xf numFmtId="164" fontId="3" fillId="0" borderId="0" xfId="0" applyNumberFormat="1" applyFont="1"/>
    <xf numFmtId="164" fontId="0" fillId="0" borderId="0" xfId="0" applyNumberFormat="1"/>
    <xf numFmtId="166" fontId="3" fillId="0" borderId="0" xfId="1" applyNumberFormat="1" applyFont="1" applyFill="1"/>
    <xf numFmtId="166" fontId="34" fillId="0" borderId="1" xfId="0" applyNumberFormat="1" applyFont="1" applyBorder="1" applyAlignment="1">
      <alignment horizontal="center"/>
    </xf>
    <xf numFmtId="0" fontId="25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horizontal="center" wrapText="1"/>
    </xf>
    <xf numFmtId="166" fontId="32" fillId="0" borderId="1" xfId="0" applyNumberFormat="1" applyFont="1" applyBorder="1"/>
    <xf numFmtId="166" fontId="32" fillId="0" borderId="1" xfId="0" applyNumberFormat="1" applyFont="1" applyBorder="1" applyAlignment="1">
      <alignment horizontal="center"/>
    </xf>
    <xf numFmtId="166" fontId="5" fillId="7" borderId="1" xfId="0" applyNumberFormat="1" applyFont="1" applyFill="1" applyBorder="1"/>
    <xf numFmtId="165" fontId="3" fillId="8" borderId="1" xfId="1" applyNumberFormat="1" applyFont="1" applyFill="1" applyBorder="1"/>
    <xf numFmtId="166" fontId="31" fillId="0" borderId="1" xfId="0" applyNumberFormat="1" applyFont="1" applyBorder="1" applyAlignment="1">
      <alignment vertical="center"/>
    </xf>
    <xf numFmtId="0" fontId="31" fillId="0" borderId="1" xfId="0" applyFont="1" applyBorder="1" applyAlignment="1">
      <alignment vertical="center"/>
    </xf>
    <xf numFmtId="9" fontId="31" fillId="0" borderId="1" xfId="0" applyNumberFormat="1" applyFont="1" applyBorder="1" applyAlignment="1">
      <alignment vertical="center"/>
    </xf>
    <xf numFmtId="0" fontId="32" fillId="5" borderId="1" xfId="0" applyFont="1" applyFill="1" applyBorder="1"/>
    <xf numFmtId="166" fontId="32" fillId="5" borderId="1" xfId="1" applyNumberFormat="1" applyFont="1" applyFill="1" applyBorder="1" applyAlignment="1">
      <alignment horizontal="right"/>
    </xf>
    <xf numFmtId="166" fontId="32" fillId="5" borderId="1" xfId="1" applyNumberFormat="1" applyFont="1" applyFill="1" applyBorder="1"/>
    <xf numFmtId="166" fontId="5" fillId="5" borderId="1" xfId="1" applyNumberFormat="1" applyFont="1" applyFill="1" applyBorder="1"/>
    <xf numFmtId="165" fontId="5" fillId="5" borderId="1" xfId="1" applyNumberFormat="1" applyFont="1" applyFill="1" applyBorder="1"/>
    <xf numFmtId="0" fontId="12" fillId="6" borderId="1" xfId="0" applyFont="1" applyFill="1" applyBorder="1" applyAlignment="1">
      <alignment horizontal="right" vertical="center" wrapText="1"/>
    </xf>
    <xf numFmtId="0" fontId="31" fillId="6" borderId="1" xfId="0" applyFont="1" applyFill="1" applyBorder="1"/>
    <xf numFmtId="4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165" fontId="17" fillId="0" borderId="1" xfId="1" applyNumberFormat="1" applyFont="1" applyBorder="1" applyAlignment="1">
      <alignment horizontal="center" vertical="center"/>
    </xf>
    <xf numFmtId="166" fontId="1" fillId="7" borderId="1" xfId="1" applyNumberFormat="1" applyFont="1" applyFill="1" applyBorder="1"/>
    <xf numFmtId="166" fontId="1" fillId="9" borderId="1" xfId="0" applyNumberFormat="1" applyFont="1" applyFill="1" applyBorder="1"/>
    <xf numFmtId="0" fontId="1" fillId="0" borderId="0" xfId="0" applyFont="1"/>
    <xf numFmtId="0" fontId="1" fillId="0" borderId="5" xfId="0" applyFont="1" applyBorder="1" applyAlignment="1">
      <alignment horizontal="right"/>
    </xf>
    <xf numFmtId="166" fontId="1" fillId="0" borderId="1" xfId="1" applyNumberFormat="1" applyFont="1" applyBorder="1"/>
    <xf numFmtId="166" fontId="1" fillId="0" borderId="1" xfId="0" applyNumberFormat="1" applyFont="1" applyBorder="1" applyAlignment="1">
      <alignment horizontal="right"/>
    </xf>
    <xf numFmtId="166" fontId="1" fillId="7" borderId="1" xfId="1" applyNumberFormat="1" applyFont="1" applyFill="1" applyBorder="1" applyAlignment="1">
      <alignment horizontal="right"/>
    </xf>
    <xf numFmtId="0" fontId="39" fillId="11" borderId="14" xfId="0" applyFont="1" applyFill="1" applyBorder="1" applyAlignment="1">
      <alignment vertical="center" wrapText="1"/>
    </xf>
    <xf numFmtId="0" fontId="38" fillId="11" borderId="15" xfId="0" applyFont="1" applyFill="1" applyBorder="1" applyAlignment="1">
      <alignment vertical="center" wrapText="1"/>
    </xf>
    <xf numFmtId="0" fontId="43" fillId="11" borderId="16" xfId="3" applyFill="1" applyBorder="1" applyAlignment="1">
      <alignment vertical="center" wrapText="1"/>
    </xf>
    <xf numFmtId="0" fontId="40" fillId="0" borderId="16" xfId="0" applyFont="1" applyBorder="1" applyAlignment="1">
      <alignment vertical="center" wrapText="1"/>
    </xf>
    <xf numFmtId="0" fontId="41" fillId="0" borderId="15" xfId="0" applyFont="1" applyBorder="1" applyAlignment="1">
      <alignment horizontal="justify" vertical="center" wrapText="1"/>
    </xf>
    <xf numFmtId="0" fontId="41" fillId="0" borderId="16" xfId="0" applyFont="1" applyBorder="1" applyAlignment="1">
      <alignment horizontal="justify" vertical="center" wrapText="1"/>
    </xf>
    <xf numFmtId="0" fontId="44" fillId="11" borderId="11" xfId="0" applyFont="1" applyFill="1" applyBorder="1" applyAlignment="1">
      <alignment vertical="center" wrapText="1"/>
    </xf>
    <xf numFmtId="0" fontId="44" fillId="11" borderId="12" xfId="0" applyFont="1" applyFill="1" applyBorder="1" applyAlignment="1">
      <alignment vertical="center" wrapText="1"/>
    </xf>
    <xf numFmtId="0" fontId="46" fillId="0" borderId="16" xfId="0" applyFont="1" applyBorder="1" applyAlignment="1">
      <alignment vertical="center" wrapText="1"/>
    </xf>
    <xf numFmtId="0" fontId="47" fillId="11" borderId="13" xfId="0" applyFont="1" applyFill="1" applyBorder="1" applyAlignment="1">
      <alignment vertical="center" wrapText="1"/>
    </xf>
    <xf numFmtId="0" fontId="47" fillId="0" borderId="0" xfId="0" applyFont="1"/>
    <xf numFmtId="0" fontId="45" fillId="11" borderId="16" xfId="0" applyFont="1" applyFill="1" applyBorder="1" applyAlignment="1">
      <alignment horizontal="center" vertical="center" wrapText="1"/>
    </xf>
    <xf numFmtId="168" fontId="46" fillId="0" borderId="13" xfId="0" applyNumberFormat="1" applyFont="1" applyBorder="1" applyAlignment="1">
      <alignment horizontal="center" vertical="center" wrapText="1"/>
    </xf>
    <xf numFmtId="168" fontId="46" fillId="0" borderId="16" xfId="0" applyNumberFormat="1" applyFont="1" applyBorder="1" applyAlignment="1">
      <alignment horizontal="center" vertical="center" wrapText="1"/>
    </xf>
    <xf numFmtId="168" fontId="46" fillId="0" borderId="15" xfId="0" applyNumberFormat="1" applyFont="1" applyBorder="1" applyAlignment="1">
      <alignment horizontal="center" vertical="center" wrapText="1"/>
    </xf>
    <xf numFmtId="168" fontId="48" fillId="0" borderId="18" xfId="2" applyNumberFormat="1" applyFont="1" applyBorder="1" applyAlignment="1">
      <alignment horizontal="center"/>
    </xf>
    <xf numFmtId="168" fontId="48" fillId="0" borderId="17" xfId="2" applyNumberFormat="1" applyFont="1" applyBorder="1" applyAlignment="1">
      <alignment horizontal="center"/>
    </xf>
    <xf numFmtId="168" fontId="48" fillId="0" borderId="19" xfId="2" applyNumberFormat="1" applyFont="1" applyBorder="1" applyAlignment="1">
      <alignment horizontal="center"/>
    </xf>
    <xf numFmtId="0" fontId="9" fillId="6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10" xfId="0" applyFont="1" applyBorder="1" applyAlignment="1">
      <alignment horizontal="center"/>
    </xf>
    <xf numFmtId="165" fontId="3" fillId="0" borderId="8" xfId="0" applyNumberFormat="1" applyFont="1" applyBorder="1"/>
    <xf numFmtId="0" fontId="9" fillId="6" borderId="1" xfId="0" applyFont="1" applyFill="1" applyBorder="1" applyAlignment="1">
      <alignment horizontal="center" vertical="center" wrapText="1"/>
    </xf>
    <xf numFmtId="0" fontId="9" fillId="6" borderId="1" xfId="0" quotePrefix="1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0" fontId="9" fillId="5" borderId="1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wrapText="1"/>
    </xf>
    <xf numFmtId="0" fontId="17" fillId="5" borderId="7" xfId="0" applyFont="1" applyFill="1" applyBorder="1" applyAlignment="1">
      <alignment horizontal="center" wrapText="1"/>
    </xf>
    <xf numFmtId="0" fontId="17" fillId="5" borderId="2" xfId="0" applyFont="1" applyFill="1" applyBorder="1" applyAlignment="1">
      <alignment horizontal="center" wrapText="1"/>
    </xf>
    <xf numFmtId="0" fontId="17" fillId="7" borderId="7" xfId="0" applyFont="1" applyFill="1" applyBorder="1" applyAlignment="1">
      <alignment horizontal="center" wrapText="1"/>
    </xf>
    <xf numFmtId="0" fontId="17" fillId="7" borderId="2" xfId="0" applyFont="1" applyFill="1" applyBorder="1" applyAlignment="1">
      <alignment horizontal="center" wrapText="1"/>
    </xf>
    <xf numFmtId="0" fontId="0" fillId="7" borderId="1" xfId="0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0" xfId="0" applyBorder="1" applyAlignment="1">
      <alignment horizontal="center"/>
    </xf>
    <xf numFmtId="4" fontId="14" fillId="0" borderId="1" xfId="0" applyNumberFormat="1" applyFont="1" applyBorder="1" applyAlignment="1">
      <alignment horizontal="center" vertical="center" wrapText="1"/>
    </xf>
    <xf numFmtId="3" fontId="3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36" fillId="0" borderId="1" xfId="0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wrapText="1"/>
    </xf>
    <xf numFmtId="0" fontId="18" fillId="0" borderId="0" xfId="0" applyFont="1" applyAlignment="1">
      <alignment horizontal="right"/>
    </xf>
    <xf numFmtId="10" fontId="14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right"/>
    </xf>
    <xf numFmtId="0" fontId="26" fillId="0" borderId="0" xfId="0" applyFont="1" applyAlignment="1">
      <alignment horizontal="center" vertical="center"/>
    </xf>
    <xf numFmtId="0" fontId="7" fillId="8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166" fontId="19" fillId="3" borderId="4" xfId="0" applyNumberFormat="1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5" fillId="7" borderId="3" xfId="0" applyFont="1" applyFill="1" applyBorder="1" applyAlignment="1">
      <alignment horizontal="center"/>
    </xf>
    <xf numFmtId="0" fontId="35" fillId="7" borderId="2" xfId="0" applyFont="1" applyFill="1" applyBorder="1" applyAlignment="1">
      <alignment horizontal="center"/>
    </xf>
    <xf numFmtId="0" fontId="24" fillId="7" borderId="1" xfId="0" applyFont="1" applyFill="1" applyBorder="1" applyAlignment="1">
      <alignment horizontal="center"/>
    </xf>
    <xf numFmtId="0" fontId="25" fillId="10" borderId="1" xfId="0" applyFont="1" applyFill="1" applyBorder="1" applyAlignment="1">
      <alignment horizontal="center" vertical="center"/>
    </xf>
    <xf numFmtId="0" fontId="25" fillId="10" borderId="4" xfId="0" applyFont="1" applyFill="1" applyBorder="1" applyAlignment="1">
      <alignment horizontal="center" vertical="center"/>
    </xf>
    <xf numFmtId="0" fontId="25" fillId="10" borderId="5" xfId="0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31" fillId="7" borderId="3" xfId="0" applyFont="1" applyFill="1" applyBorder="1" applyAlignment="1">
      <alignment horizontal="center"/>
    </xf>
    <xf numFmtId="0" fontId="31" fillId="7" borderId="2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6" fillId="0" borderId="11" xfId="0" applyFont="1" applyBorder="1" applyAlignment="1">
      <alignment vertical="center" wrapText="1"/>
    </xf>
    <xf numFmtId="0" fontId="47" fillId="0" borderId="12" xfId="0" applyFont="1" applyBorder="1" applyAlignment="1">
      <alignment vertical="center" wrapText="1"/>
    </xf>
    <xf numFmtId="0" fontId="47" fillId="0" borderId="13" xfId="0" applyFont="1" applyBorder="1" applyAlignment="1">
      <alignment vertical="center" wrapText="1"/>
    </xf>
    <xf numFmtId="168" fontId="46" fillId="0" borderId="11" xfId="0" applyNumberFormat="1" applyFont="1" applyBorder="1" applyAlignment="1">
      <alignment horizontal="center" vertical="center" wrapText="1"/>
    </xf>
    <xf numFmtId="168" fontId="46" fillId="0" borderId="13" xfId="0" applyNumberFormat="1" applyFont="1" applyBorder="1" applyAlignment="1">
      <alignment horizontal="center" vertical="center" wrapText="1"/>
    </xf>
    <xf numFmtId="168" fontId="46" fillId="0" borderId="12" xfId="0" applyNumberFormat="1" applyFont="1" applyBorder="1" applyAlignment="1">
      <alignment horizontal="center" vertical="center" wrapText="1"/>
    </xf>
    <xf numFmtId="0" fontId="45" fillId="11" borderId="11" xfId="0" applyFont="1" applyFill="1" applyBorder="1" applyAlignment="1">
      <alignment horizontal="center" vertical="center" wrapText="1"/>
    </xf>
    <xf numFmtId="0" fontId="45" fillId="11" borderId="12" xfId="0" applyFont="1" applyFill="1" applyBorder="1" applyAlignment="1">
      <alignment horizontal="center" vertical="center" wrapText="1"/>
    </xf>
    <xf numFmtId="0" fontId="40" fillId="0" borderId="11" xfId="0" applyFont="1" applyBorder="1" applyAlignment="1">
      <alignment vertical="center" wrapText="1"/>
    </xf>
    <xf numFmtId="0" fontId="40" fillId="0" borderId="13" xfId="0" applyFont="1" applyBorder="1" applyAlignment="1">
      <alignment vertical="center" wrapText="1"/>
    </xf>
    <xf numFmtId="0" fontId="46" fillId="0" borderId="12" xfId="0" applyFont="1" applyBorder="1" applyAlignment="1">
      <alignment vertical="center" wrapText="1"/>
    </xf>
    <xf numFmtId="0" fontId="46" fillId="0" borderId="13" xfId="0" applyFont="1" applyBorder="1" applyAlignment="1">
      <alignment vertical="center" wrapText="1"/>
    </xf>
    <xf numFmtId="0" fontId="40" fillId="0" borderId="12" xfId="0" applyFont="1" applyBorder="1" applyAlignment="1">
      <alignment vertical="center" wrapText="1"/>
    </xf>
    <xf numFmtId="0" fontId="44" fillId="11" borderId="11" xfId="0" applyFont="1" applyFill="1" applyBorder="1" applyAlignment="1">
      <alignment vertical="center" wrapText="1"/>
    </xf>
    <xf numFmtId="0" fontId="44" fillId="11" borderId="12" xfId="0" applyFont="1" applyFill="1" applyBorder="1" applyAlignment="1">
      <alignment vertical="center" wrapText="1"/>
    </xf>
    <xf numFmtId="0" fontId="44" fillId="11" borderId="13" xfId="0" applyFont="1" applyFill="1" applyBorder="1" applyAlignment="1">
      <alignment vertical="center" wrapText="1"/>
    </xf>
    <xf numFmtId="0" fontId="45" fillId="11" borderId="13" xfId="0" applyFont="1" applyFill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443024</xdr:colOff>
      <xdr:row>42</xdr:row>
      <xdr:rowOff>131578</xdr:rowOff>
    </xdr:from>
    <xdr:to>
      <xdr:col>6</xdr:col>
      <xdr:colOff>76790</xdr:colOff>
      <xdr:row>56</xdr:row>
      <xdr:rowOff>12147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0BBCC6-F461-1DF7-33F3-A6B70C8F5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3024" y="2955851"/>
          <a:ext cx="5703185" cy="251655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99060</xdr:rowOff>
    </xdr:from>
    <xdr:to>
      <xdr:col>7</xdr:col>
      <xdr:colOff>488348</xdr:colOff>
      <xdr:row>72</xdr:row>
      <xdr:rowOff>61194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22B0EF7-356F-D469-C085-27959256E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585460"/>
          <a:ext cx="7712108" cy="2705334"/>
        </a:xfrm>
        <a:prstGeom prst="rect">
          <a:avLst/>
        </a:prstGeom>
      </xdr:spPr>
    </xdr:pic>
    <xdr:clientData/>
  </xdr:twoCellAnchor>
  <xdr:twoCellAnchor editAs="oneCell">
    <xdr:from>
      <xdr:col>6</xdr:col>
      <xdr:colOff>536279</xdr:colOff>
      <xdr:row>40</xdr:row>
      <xdr:rowOff>95250</xdr:rowOff>
    </xdr:from>
    <xdr:to>
      <xdr:col>11</xdr:col>
      <xdr:colOff>117179</xdr:colOff>
      <xdr:row>58</xdr:row>
      <xdr:rowOff>66675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A4EEF69-8FAE-42AD-ECE2-0B4F95FE2AE5}"/>
            </a:ext>
            <a:ext uri="{147F2762-F138-4A5C-976F-8EAC2B608ADB}">
              <a16:predDERef xmlns:a16="http://schemas.microsoft.com/office/drawing/2014/main" pred="{B22B0EF7-356F-D469-C085-27959256E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05698" y="2542953"/>
          <a:ext cx="4575987" cy="33605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FC3E1-68BD-48A8-8820-D3D2C5E8CF70}">
  <dimension ref="A1:H27"/>
  <sheetViews>
    <sheetView topLeftCell="A5" zoomScale="85" zoomScaleNormal="85" workbookViewId="0">
      <selection activeCell="H21" sqref="H21"/>
    </sheetView>
  </sheetViews>
  <sheetFormatPr defaultRowHeight="14.75" x14ac:dyDescent="0.75"/>
  <cols>
    <col min="1" max="1" width="20.1328125" customWidth="1"/>
    <col min="2" max="2" width="10.54296875" customWidth="1"/>
    <col min="3" max="5" width="14.54296875" customWidth="1"/>
    <col min="6" max="6" width="13.54296875" customWidth="1"/>
    <col min="7" max="7" width="15.7265625" customWidth="1"/>
    <col min="8" max="8" width="15.86328125" customWidth="1"/>
    <col min="9" max="9" width="15.1328125" customWidth="1"/>
    <col min="10" max="10" width="10.54296875" bestFit="1" customWidth="1"/>
    <col min="11" max="11" width="11.54296875" bestFit="1" customWidth="1"/>
    <col min="12" max="12" width="14.40625" customWidth="1"/>
    <col min="14" max="14" width="13.26953125" customWidth="1"/>
  </cols>
  <sheetData>
    <row r="1" spans="1:7" ht="26.25" customHeight="1" x14ac:dyDescent="0.9">
      <c r="A1" s="212" t="s">
        <v>0</v>
      </c>
      <c r="B1" s="212"/>
      <c r="C1" s="212"/>
      <c r="D1" s="212"/>
      <c r="E1" s="212"/>
      <c r="F1" s="212"/>
      <c r="G1" s="212"/>
    </row>
    <row r="2" spans="1:7" ht="43.5" customHeight="1" x14ac:dyDescent="0.9">
      <c r="A2" s="8"/>
      <c r="E2" s="116" t="s">
        <v>1</v>
      </c>
      <c r="F2" s="116" t="s">
        <v>2</v>
      </c>
      <c r="G2" s="116" t="s">
        <v>3</v>
      </c>
    </row>
    <row r="3" spans="1:7" ht="26.25" customHeight="1" x14ac:dyDescent="0.75">
      <c r="C3" s="32"/>
      <c r="E3" s="118">
        <v>46</v>
      </c>
      <c r="F3" s="118">
        <v>0.67</v>
      </c>
      <c r="G3" s="118">
        <v>2.69</v>
      </c>
    </row>
    <row r="4" spans="1:7" x14ac:dyDescent="0.75">
      <c r="A4" s="215" t="s">
        <v>4</v>
      </c>
      <c r="B4" s="215" t="s">
        <v>5</v>
      </c>
      <c r="C4" s="215" t="s">
        <v>6</v>
      </c>
      <c r="D4" s="216" t="s">
        <v>7</v>
      </c>
      <c r="E4" s="215"/>
      <c r="F4" s="215"/>
      <c r="G4" s="215"/>
    </row>
    <row r="5" spans="1:7" ht="27" x14ac:dyDescent="0.75">
      <c r="A5" s="215"/>
      <c r="B5" s="215"/>
      <c r="C5" s="215"/>
      <c r="D5" s="15" t="s">
        <v>8</v>
      </c>
      <c r="E5" s="15" t="s">
        <v>9</v>
      </c>
      <c r="F5" s="15" t="s">
        <v>10</v>
      </c>
      <c r="G5" s="15" t="s">
        <v>11</v>
      </c>
    </row>
    <row r="6" spans="1:7" x14ac:dyDescent="0.75">
      <c r="A6" s="221" t="s">
        <v>12</v>
      </c>
      <c r="B6" s="221"/>
      <c r="C6" s="221"/>
      <c r="D6" s="221"/>
      <c r="E6" s="221"/>
      <c r="F6" s="221"/>
      <c r="G6" s="221"/>
    </row>
    <row r="7" spans="1:7" x14ac:dyDescent="0.75">
      <c r="A7" s="65" t="s">
        <v>13</v>
      </c>
      <c r="B7" s="112">
        <v>4</v>
      </c>
      <c r="C7" s="9">
        <v>110</v>
      </c>
      <c r="D7" s="16">
        <v>240</v>
      </c>
      <c r="E7" s="16">
        <f t="shared" ref="E7:E12" si="0">+D7*F$3</f>
        <v>160.80000000000001</v>
      </c>
      <c r="F7" s="28">
        <v>22</v>
      </c>
      <c r="G7" s="28">
        <f>+D7*G$3</f>
        <v>645.6</v>
      </c>
    </row>
    <row r="8" spans="1:7" x14ac:dyDescent="0.75">
      <c r="A8" s="65" t="s">
        <v>14</v>
      </c>
      <c r="B8" s="112">
        <v>4</v>
      </c>
      <c r="C8" s="9">
        <v>150</v>
      </c>
      <c r="D8" s="16">
        <v>232</v>
      </c>
      <c r="E8" s="16">
        <f t="shared" si="0"/>
        <v>155.44</v>
      </c>
      <c r="F8" s="28">
        <v>22</v>
      </c>
      <c r="G8" s="28">
        <f t="shared" ref="G8:G12" si="1">+D8*G$3</f>
        <v>624.08000000000004</v>
      </c>
    </row>
    <row r="9" spans="1:7" x14ac:dyDescent="0.75">
      <c r="A9" s="65" t="s">
        <v>15</v>
      </c>
      <c r="B9" s="112">
        <v>2</v>
      </c>
      <c r="C9" s="9">
        <v>76</v>
      </c>
      <c r="D9" s="16">
        <v>116</v>
      </c>
      <c r="E9" s="16">
        <f t="shared" si="0"/>
        <v>77.72</v>
      </c>
      <c r="F9" s="28">
        <v>22</v>
      </c>
      <c r="G9" s="28">
        <f t="shared" si="1"/>
        <v>312.04000000000002</v>
      </c>
    </row>
    <row r="10" spans="1:7" x14ac:dyDescent="0.75">
      <c r="A10" s="65" t="s">
        <v>16</v>
      </c>
      <c r="B10" s="112">
        <v>4</v>
      </c>
      <c r="C10" s="9">
        <v>110</v>
      </c>
      <c r="D10" s="16">
        <v>258</v>
      </c>
      <c r="E10" s="16">
        <f t="shared" si="0"/>
        <v>172.86</v>
      </c>
      <c r="F10" s="28">
        <v>22</v>
      </c>
      <c r="G10" s="28">
        <f t="shared" si="1"/>
        <v>694.02</v>
      </c>
    </row>
    <row r="11" spans="1:7" x14ac:dyDescent="0.75">
      <c r="A11" s="65" t="s">
        <v>17</v>
      </c>
      <c r="B11" s="112">
        <v>6</v>
      </c>
      <c r="C11" s="9">
        <v>228</v>
      </c>
      <c r="D11" s="16">
        <v>348</v>
      </c>
      <c r="E11" s="16">
        <f t="shared" si="0"/>
        <v>233.16000000000003</v>
      </c>
      <c r="F11" s="28">
        <v>22</v>
      </c>
      <c r="G11" s="28">
        <f t="shared" si="1"/>
        <v>936.12</v>
      </c>
    </row>
    <row r="12" spans="1:7" x14ac:dyDescent="0.75">
      <c r="A12" s="65" t="s">
        <v>18</v>
      </c>
      <c r="B12" s="112">
        <v>5</v>
      </c>
      <c r="C12" s="9">
        <v>126</v>
      </c>
      <c r="D12" s="16">
        <v>232</v>
      </c>
      <c r="E12" s="16">
        <f t="shared" si="0"/>
        <v>155.44</v>
      </c>
      <c r="F12" s="28">
        <v>22</v>
      </c>
      <c r="G12" s="28">
        <f t="shared" si="1"/>
        <v>624.08000000000004</v>
      </c>
    </row>
    <row r="13" spans="1:7" x14ac:dyDescent="0.75">
      <c r="A13" s="66" t="s">
        <v>19</v>
      </c>
      <c r="B13" s="97">
        <v>25</v>
      </c>
      <c r="C13" s="18">
        <v>826</v>
      </c>
      <c r="D13" s="17">
        <f>SUM(D7:D12)</f>
        <v>1426</v>
      </c>
      <c r="E13" s="17">
        <f>SUM(E7:E12)</f>
        <v>955.42000000000007</v>
      </c>
      <c r="F13" s="41">
        <v>22</v>
      </c>
      <c r="G13" s="41">
        <f>SUM(G7:G12)</f>
        <v>3835.9399999999996</v>
      </c>
    </row>
    <row r="14" spans="1:7" x14ac:dyDescent="0.75">
      <c r="A14" s="221" t="s">
        <v>20</v>
      </c>
      <c r="B14" s="221"/>
      <c r="C14" s="221"/>
      <c r="D14" s="221"/>
      <c r="E14" s="221"/>
      <c r="F14" s="221"/>
      <c r="G14" s="221"/>
    </row>
    <row r="15" spans="1:7" x14ac:dyDescent="0.75">
      <c r="A15" s="65" t="s">
        <v>21</v>
      </c>
      <c r="B15" s="113">
        <v>46</v>
      </c>
      <c r="C15" s="18">
        <v>2200</v>
      </c>
      <c r="D15" s="40">
        <f>+B15*E3</f>
        <v>2116</v>
      </c>
      <c r="E15" s="16">
        <f>+D15*F$3</f>
        <v>1417.72</v>
      </c>
      <c r="F15" s="28">
        <v>22</v>
      </c>
      <c r="G15" s="28">
        <f t="shared" ref="G15" si="2">+D15*G$3</f>
        <v>5692.04</v>
      </c>
    </row>
    <row r="16" spans="1:7" ht="29.5" x14ac:dyDescent="0.75">
      <c r="A16" s="60" t="s">
        <v>22</v>
      </c>
      <c r="B16" s="114">
        <f>+B13+B15</f>
        <v>71</v>
      </c>
      <c r="C16" s="180">
        <f>+C13+C15</f>
        <v>3026</v>
      </c>
      <c r="D16" s="63">
        <f>+D13+D15</f>
        <v>3542</v>
      </c>
      <c r="E16" s="63">
        <f>+E13+E15</f>
        <v>2373.1400000000003</v>
      </c>
      <c r="F16" s="64">
        <f>+(F13+F15)/2</f>
        <v>22</v>
      </c>
      <c r="G16" s="64">
        <f>+G13+G15</f>
        <v>9527.98</v>
      </c>
    </row>
    <row r="18" spans="1:8" ht="25.5" customHeight="1" x14ac:dyDescent="0.9">
      <c r="A18" s="213" t="s">
        <v>23</v>
      </c>
      <c r="B18" s="213"/>
      <c r="C18" s="213"/>
      <c r="D18" s="213"/>
      <c r="E18" s="213"/>
      <c r="F18" s="213"/>
      <c r="G18" s="213"/>
      <c r="H18" s="213"/>
    </row>
    <row r="19" spans="1:8" ht="15.75" customHeight="1" x14ac:dyDescent="0.75">
      <c r="A19" s="217" t="s">
        <v>24</v>
      </c>
      <c r="B19" s="219" t="s">
        <v>25</v>
      </c>
      <c r="C19" s="210" t="s">
        <v>8</v>
      </c>
      <c r="D19" s="210" t="s">
        <v>9</v>
      </c>
      <c r="E19" s="219" t="s">
        <v>26</v>
      </c>
      <c r="F19" s="222" t="s">
        <v>27</v>
      </c>
      <c r="G19" s="219" t="s">
        <v>28</v>
      </c>
      <c r="H19" s="219" t="s">
        <v>29</v>
      </c>
    </row>
    <row r="20" spans="1:8" ht="26.25" customHeight="1" x14ac:dyDescent="0.75">
      <c r="A20" s="218"/>
      <c r="B20" s="220"/>
      <c r="C20" s="211"/>
      <c r="D20" s="211"/>
      <c r="E20" s="220"/>
      <c r="F20" s="222"/>
      <c r="G20" s="220"/>
      <c r="H20" s="220"/>
    </row>
    <row r="21" spans="1:8" x14ac:dyDescent="0.75">
      <c r="A21" s="70" t="s">
        <v>12</v>
      </c>
      <c r="B21" s="143">
        <v>826</v>
      </c>
      <c r="C21" s="109">
        <f>+D13</f>
        <v>1426</v>
      </c>
      <c r="D21" s="109">
        <f>+E13</f>
        <v>955.42000000000007</v>
      </c>
      <c r="E21" s="109">
        <v>1204</v>
      </c>
      <c r="F21" s="79">
        <v>1.103</v>
      </c>
      <c r="G21" s="109">
        <f>+E21*F$21</f>
        <v>1328.0119999999999</v>
      </c>
      <c r="H21" s="109">
        <f>+G21*25</f>
        <v>33200.299999999996</v>
      </c>
    </row>
    <row r="22" spans="1:8" x14ac:dyDescent="0.75">
      <c r="A22" s="70" t="s">
        <v>20</v>
      </c>
      <c r="B22" s="79">
        <v>2200</v>
      </c>
      <c r="C22" s="109">
        <f>+D15</f>
        <v>2116</v>
      </c>
      <c r="D22" s="109">
        <f>+E15</f>
        <v>1417.72</v>
      </c>
      <c r="E22" s="109">
        <v>1784</v>
      </c>
      <c r="F22" s="79">
        <v>1.103</v>
      </c>
      <c r="G22" s="109">
        <f>+E22*F$21</f>
        <v>1967.752</v>
      </c>
      <c r="H22" s="109">
        <f>+G22*25</f>
        <v>49193.799999999996</v>
      </c>
    </row>
    <row r="23" spans="1:8" x14ac:dyDescent="0.75">
      <c r="A23" s="23" t="s">
        <v>30</v>
      </c>
      <c r="B23" s="181">
        <f>SUM(B21:B22)</f>
        <v>3026</v>
      </c>
      <c r="C23" s="110">
        <f>SUM(C21:C22)</f>
        <v>3542</v>
      </c>
      <c r="D23" s="110">
        <f t="shared" ref="D23:E23" si="3">SUM(D21:D22)</f>
        <v>2373.1400000000003</v>
      </c>
      <c r="E23" s="110">
        <f t="shared" si="3"/>
        <v>2988</v>
      </c>
      <c r="F23" s="111" t="s">
        <v>31</v>
      </c>
      <c r="G23" s="110">
        <f>SUM(G21,G22)</f>
        <v>3295.7640000000001</v>
      </c>
      <c r="H23" s="110">
        <f>SUM(H21:H22)</f>
        <v>82394.099999999991</v>
      </c>
    </row>
    <row r="24" spans="1:8" x14ac:dyDescent="0.75">
      <c r="C24" s="214"/>
      <c r="D24" s="214"/>
      <c r="E24" s="214"/>
    </row>
    <row r="25" spans="1:8" x14ac:dyDescent="0.75">
      <c r="F25" s="6"/>
      <c r="G25" s="6"/>
    </row>
    <row r="27" spans="1:8" x14ac:dyDescent="0.75">
      <c r="F27" t="s">
        <v>32</v>
      </c>
      <c r="G27" s="6"/>
    </row>
  </sheetData>
  <mergeCells count="17">
    <mergeCell ref="C19:C20"/>
    <mergeCell ref="D19:D20"/>
    <mergeCell ref="A1:G1"/>
    <mergeCell ref="A18:H18"/>
    <mergeCell ref="C24:E24"/>
    <mergeCell ref="A4:A5"/>
    <mergeCell ref="B4:B5"/>
    <mergeCell ref="C4:C5"/>
    <mergeCell ref="D4:G4"/>
    <mergeCell ref="A19:A20"/>
    <mergeCell ref="G19:G20"/>
    <mergeCell ref="E19:E20"/>
    <mergeCell ref="A14:G14"/>
    <mergeCell ref="A6:G6"/>
    <mergeCell ref="H19:H20"/>
    <mergeCell ref="F19:F20"/>
    <mergeCell ref="B19:B20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EBC83-7935-4194-A830-E06AA2E10B8F}">
  <dimension ref="A2:O61"/>
  <sheetViews>
    <sheetView topLeftCell="A5" zoomScale="70" zoomScaleNormal="70" workbookViewId="0">
      <selection activeCell="L47" sqref="L47"/>
    </sheetView>
  </sheetViews>
  <sheetFormatPr defaultRowHeight="14.75" x14ac:dyDescent="0.75"/>
  <cols>
    <col min="1" max="1" width="20.1328125" customWidth="1"/>
    <col min="2" max="2" width="24.1328125" bestFit="1" customWidth="1"/>
    <col min="3" max="4" width="14.54296875" customWidth="1"/>
    <col min="5" max="5" width="29" bestFit="1" customWidth="1"/>
    <col min="6" max="6" width="13.54296875" customWidth="1"/>
    <col min="7" max="7" width="15.7265625" customWidth="1"/>
    <col min="8" max="8" width="15.86328125" customWidth="1"/>
    <col min="9" max="9" width="17.40625" bestFit="1" customWidth="1"/>
    <col min="10" max="10" width="10.54296875" bestFit="1" customWidth="1"/>
    <col min="11" max="11" width="11.54296875" bestFit="1" customWidth="1"/>
    <col min="12" max="12" width="37.40625" customWidth="1"/>
    <col min="13" max="13" width="24.40625" customWidth="1"/>
    <col min="14" max="14" width="13.26953125" customWidth="1"/>
    <col min="15" max="15" width="12.40625" bestFit="1" customWidth="1"/>
  </cols>
  <sheetData>
    <row r="2" spans="2:5" x14ac:dyDescent="0.75">
      <c r="B2" s="90" t="s">
        <v>33</v>
      </c>
      <c r="C2" s="90" t="s">
        <v>34</v>
      </c>
      <c r="D2" s="90" t="s">
        <v>35</v>
      </c>
      <c r="E2" s="90" t="s">
        <v>36</v>
      </c>
    </row>
    <row r="3" spans="2:5" ht="27" x14ac:dyDescent="0.75">
      <c r="B3" s="25" t="s">
        <v>37</v>
      </c>
      <c r="C3" s="25">
        <v>395</v>
      </c>
      <c r="D3" s="25" t="s">
        <v>38</v>
      </c>
      <c r="E3" s="25" t="s">
        <v>39</v>
      </c>
    </row>
    <row r="4" spans="2:5" ht="27" x14ac:dyDescent="0.75">
      <c r="B4" s="25" t="s">
        <v>40</v>
      </c>
      <c r="C4" s="89">
        <v>0.5</v>
      </c>
      <c r="D4" s="25" t="s">
        <v>41</v>
      </c>
      <c r="E4" s="25" t="s">
        <v>42</v>
      </c>
    </row>
    <row r="5" spans="2:5" ht="27" x14ac:dyDescent="0.75">
      <c r="B5" s="25" t="s">
        <v>43</v>
      </c>
      <c r="C5" s="89">
        <v>0.5</v>
      </c>
      <c r="D5" s="25" t="s">
        <v>41</v>
      </c>
      <c r="E5" s="25" t="s">
        <v>44</v>
      </c>
    </row>
    <row r="6" spans="2:5" ht="27" x14ac:dyDescent="0.75">
      <c r="B6" s="25" t="s">
        <v>45</v>
      </c>
      <c r="C6" s="89">
        <v>0.5</v>
      </c>
      <c r="D6" s="25" t="s">
        <v>41</v>
      </c>
      <c r="E6" s="25" t="s">
        <v>44</v>
      </c>
    </row>
    <row r="7" spans="2:5" x14ac:dyDescent="0.75">
      <c r="B7" s="25" t="s">
        <v>46</v>
      </c>
      <c r="C7" s="25">
        <v>101</v>
      </c>
      <c r="D7" s="25" t="s">
        <v>47</v>
      </c>
      <c r="E7" s="25" t="s">
        <v>48</v>
      </c>
    </row>
    <row r="8" spans="2:5" x14ac:dyDescent="0.75">
      <c r="B8" s="25" t="s">
        <v>49</v>
      </c>
      <c r="C8" s="25">
        <v>94.6</v>
      </c>
      <c r="D8" s="25" t="s">
        <v>47</v>
      </c>
      <c r="E8" s="25" t="s">
        <v>48</v>
      </c>
    </row>
    <row r="9" spans="2:5" ht="27" x14ac:dyDescent="0.75">
      <c r="B9" s="25" t="s">
        <v>50</v>
      </c>
      <c r="C9" s="25">
        <v>104.9</v>
      </c>
      <c r="D9" s="25" t="s">
        <v>38</v>
      </c>
      <c r="E9" s="25" t="s">
        <v>51</v>
      </c>
    </row>
    <row r="10" spans="2:5" ht="27" x14ac:dyDescent="0.75">
      <c r="B10" s="25" t="s">
        <v>52</v>
      </c>
      <c r="C10" s="89">
        <v>0.65</v>
      </c>
      <c r="D10" s="25" t="s">
        <v>41</v>
      </c>
      <c r="E10" s="25" t="s">
        <v>53</v>
      </c>
    </row>
    <row r="11" spans="2:5" ht="27" x14ac:dyDescent="0.75">
      <c r="B11" s="25" t="s">
        <v>54</v>
      </c>
      <c r="C11" s="89">
        <v>0</v>
      </c>
      <c r="D11" s="25" t="s">
        <v>41</v>
      </c>
      <c r="E11" s="25" t="s">
        <v>55</v>
      </c>
    </row>
    <row r="12" spans="2:5" ht="27" x14ac:dyDescent="0.75">
      <c r="B12" s="25" t="s">
        <v>56</v>
      </c>
      <c r="C12" s="89">
        <v>1</v>
      </c>
      <c r="D12" s="25" t="s">
        <v>41</v>
      </c>
      <c r="E12" s="25" t="s">
        <v>55</v>
      </c>
    </row>
    <row r="13" spans="2:5" ht="27" x14ac:dyDescent="0.75">
      <c r="B13" s="25" t="s">
        <v>57</v>
      </c>
      <c r="C13" s="26">
        <v>218264</v>
      </c>
      <c r="D13" s="25" t="s">
        <v>58</v>
      </c>
      <c r="E13" s="25" t="s">
        <v>59</v>
      </c>
    </row>
    <row r="14" spans="2:5" ht="27" x14ac:dyDescent="0.75">
      <c r="B14" s="25" t="s">
        <v>60</v>
      </c>
      <c r="C14" s="25">
        <v>3.5999999999999998E-6</v>
      </c>
      <c r="D14" s="25" t="s">
        <v>61</v>
      </c>
      <c r="E14" s="25" t="s">
        <v>62</v>
      </c>
    </row>
    <row r="17" spans="1:13" x14ac:dyDescent="0.75">
      <c r="A17" s="90" t="s">
        <v>63</v>
      </c>
      <c r="B17" s="90" t="s">
        <v>64</v>
      </c>
      <c r="C17" s="90" t="s">
        <v>65</v>
      </c>
      <c r="D17" s="90" t="s">
        <v>35</v>
      </c>
      <c r="E17" s="90" t="s">
        <v>66</v>
      </c>
      <c r="F17" s="90" t="s">
        <v>67</v>
      </c>
    </row>
    <row r="18" spans="1:13" ht="27" x14ac:dyDescent="0.75">
      <c r="A18" s="25">
        <v>-1</v>
      </c>
      <c r="B18" s="91" t="s">
        <v>68</v>
      </c>
      <c r="C18" s="92"/>
      <c r="D18" s="92"/>
      <c r="E18" s="92"/>
      <c r="F18" s="93"/>
    </row>
    <row r="19" spans="1:13" ht="81" x14ac:dyDescent="0.75">
      <c r="A19" s="25">
        <v>1.1000000000000001</v>
      </c>
      <c r="B19" s="25" t="s">
        <v>69</v>
      </c>
      <c r="C19" s="25">
        <v>0.14399999999999999</v>
      </c>
      <c r="D19" s="25" t="s">
        <v>70</v>
      </c>
      <c r="E19" s="25" t="s">
        <v>71</v>
      </c>
      <c r="F19" s="25" t="s">
        <v>72</v>
      </c>
    </row>
    <row r="20" spans="1:13" ht="81" x14ac:dyDescent="0.75">
      <c r="A20" s="25">
        <v>1.2</v>
      </c>
      <c r="B20" s="25" t="s">
        <v>73</v>
      </c>
      <c r="C20" s="25">
        <v>0.13500000000000001</v>
      </c>
      <c r="D20" s="25" t="s">
        <v>70</v>
      </c>
      <c r="E20" s="25" t="s">
        <v>74</v>
      </c>
      <c r="F20" s="25" t="s">
        <v>75</v>
      </c>
    </row>
    <row r="21" spans="1:13" ht="54" x14ac:dyDescent="0.75">
      <c r="A21" s="25">
        <v>1.3</v>
      </c>
      <c r="B21" s="25" t="s">
        <v>76</v>
      </c>
      <c r="C21" s="25">
        <v>0.27800000000000002</v>
      </c>
      <c r="D21" s="25" t="s">
        <v>70</v>
      </c>
      <c r="E21" s="25" t="s">
        <v>77</v>
      </c>
      <c r="F21" s="25" t="s">
        <v>78</v>
      </c>
    </row>
    <row r="22" spans="1:13" ht="27" x14ac:dyDescent="0.75">
      <c r="A22" s="25">
        <v>-2</v>
      </c>
      <c r="B22" s="91" t="s">
        <v>79</v>
      </c>
      <c r="C22" s="92"/>
      <c r="D22" s="92"/>
      <c r="E22" s="92"/>
      <c r="F22" s="93"/>
    </row>
    <row r="23" spans="1:13" ht="81" x14ac:dyDescent="0.75">
      <c r="A23" s="25">
        <v>2.1</v>
      </c>
      <c r="B23" s="25" t="s">
        <v>80</v>
      </c>
      <c r="C23" s="25">
        <v>0</v>
      </c>
      <c r="D23" s="25" t="s">
        <v>70</v>
      </c>
      <c r="E23" s="25" t="s">
        <v>81</v>
      </c>
      <c r="F23" s="25" t="s">
        <v>82</v>
      </c>
    </row>
    <row r="24" spans="1:13" ht="81" x14ac:dyDescent="0.75">
      <c r="A24" s="25">
        <v>2.2000000000000002</v>
      </c>
      <c r="B24" s="25" t="s">
        <v>83</v>
      </c>
      <c r="C24" s="25">
        <v>5.5E-2</v>
      </c>
      <c r="D24" s="25" t="s">
        <v>70</v>
      </c>
      <c r="E24" s="25" t="s">
        <v>84</v>
      </c>
      <c r="F24" s="25" t="s">
        <v>85</v>
      </c>
    </row>
    <row r="25" spans="1:13" ht="54" x14ac:dyDescent="0.75">
      <c r="A25" s="94">
        <v>2.2999999999999998</v>
      </c>
      <c r="B25" s="94" t="s">
        <v>86</v>
      </c>
      <c r="C25" s="94">
        <v>5.5E-2</v>
      </c>
      <c r="D25" s="94" t="s">
        <v>70</v>
      </c>
      <c r="E25" s="94" t="s">
        <v>87</v>
      </c>
      <c r="F25" s="94" t="s">
        <v>88</v>
      </c>
    </row>
    <row r="26" spans="1:13" x14ac:dyDescent="0.75">
      <c r="A26" s="95"/>
      <c r="B26" s="95"/>
      <c r="C26" s="95"/>
      <c r="D26" s="95"/>
      <c r="E26" s="95"/>
      <c r="F26" s="95"/>
    </row>
    <row r="27" spans="1:13" ht="40.5" x14ac:dyDescent="0.75">
      <c r="A27" s="25">
        <v>-3</v>
      </c>
      <c r="B27" s="91" t="s">
        <v>89</v>
      </c>
      <c r="C27" s="92"/>
      <c r="D27" s="92"/>
      <c r="E27" s="92"/>
      <c r="F27" s="93"/>
    </row>
    <row r="28" spans="1:13" ht="40.5" x14ac:dyDescent="0.75">
      <c r="A28" s="25">
        <v>3.1</v>
      </c>
      <c r="B28" s="25" t="s">
        <v>90</v>
      </c>
      <c r="C28" s="26">
        <v>48713</v>
      </c>
      <c r="D28" s="25" t="s">
        <v>91</v>
      </c>
      <c r="E28" s="25" t="s">
        <v>92</v>
      </c>
      <c r="F28" s="183" t="s">
        <v>93</v>
      </c>
      <c r="G28">
        <f>+(0.2781-0.055)*362907</f>
        <v>80964.551700000011</v>
      </c>
    </row>
    <row r="29" spans="1:13" ht="94.5" customHeight="1" x14ac:dyDescent="0.75">
      <c r="A29" s="25">
        <v>3.2</v>
      </c>
      <c r="B29" s="25" t="s">
        <v>94</v>
      </c>
      <c r="C29" s="26">
        <v>1948504</v>
      </c>
      <c r="D29" s="25" t="s">
        <v>95</v>
      </c>
      <c r="E29" s="25" t="s">
        <v>96</v>
      </c>
      <c r="F29" s="25" t="s">
        <v>97</v>
      </c>
    </row>
    <row r="31" spans="1:13" ht="18.5" x14ac:dyDescent="0.9">
      <c r="A31" s="213" t="s">
        <v>98</v>
      </c>
      <c r="B31" s="213"/>
      <c r="C31" s="213"/>
      <c r="D31" s="213"/>
      <c r="E31" s="213"/>
      <c r="F31" s="213"/>
      <c r="G31" s="213"/>
    </row>
    <row r="32" spans="1:13" x14ac:dyDescent="0.75">
      <c r="A32" s="224" t="s">
        <v>4</v>
      </c>
      <c r="B32" s="224" t="s">
        <v>5</v>
      </c>
      <c r="C32" s="224" t="s">
        <v>6</v>
      </c>
      <c r="D32" s="224" t="s">
        <v>99</v>
      </c>
      <c r="E32" s="224"/>
      <c r="F32" s="224"/>
      <c r="G32" s="224" t="s">
        <v>100</v>
      </c>
      <c r="L32" s="4"/>
      <c r="M32" s="102"/>
    </row>
    <row r="33" spans="1:15" x14ac:dyDescent="0.75">
      <c r="A33" s="224"/>
      <c r="B33" s="224"/>
      <c r="C33" s="224"/>
      <c r="D33" s="43" t="s">
        <v>101</v>
      </c>
      <c r="E33" s="43" t="s">
        <v>102</v>
      </c>
      <c r="F33" s="43" t="s">
        <v>103</v>
      </c>
      <c r="G33" s="224"/>
      <c r="O33" s="14"/>
    </row>
    <row r="34" spans="1:15" x14ac:dyDescent="0.75">
      <c r="A34" s="231" t="s">
        <v>12</v>
      </c>
      <c r="B34" s="231"/>
      <c r="C34" s="231"/>
      <c r="D34" s="231"/>
      <c r="E34" s="231"/>
      <c r="F34" s="231"/>
      <c r="G34" s="47"/>
      <c r="O34" s="14"/>
    </row>
    <row r="35" spans="1:15" x14ac:dyDescent="0.75">
      <c r="A35" s="55" t="s">
        <v>13</v>
      </c>
      <c r="B35" s="9">
        <v>4</v>
      </c>
      <c r="C35" s="16">
        <v>110</v>
      </c>
      <c r="D35" s="16">
        <v>7020</v>
      </c>
      <c r="E35" s="16">
        <v>1170</v>
      </c>
      <c r="F35" s="16">
        <v>1872</v>
      </c>
      <c r="G35" s="186">
        <f t="shared" ref="G35:G41" si="0">SUM(D35:F35)</f>
        <v>10062</v>
      </c>
      <c r="O35" s="75"/>
    </row>
    <row r="36" spans="1:15" x14ac:dyDescent="0.75">
      <c r="A36" s="55" t="s">
        <v>14</v>
      </c>
      <c r="B36" s="9">
        <v>4</v>
      </c>
      <c r="C36" s="16">
        <v>150</v>
      </c>
      <c r="D36" s="16">
        <v>9277.4</v>
      </c>
      <c r="E36" s="16">
        <v>223.4</v>
      </c>
      <c r="F36" s="40"/>
      <c r="G36" s="186">
        <f t="shared" si="0"/>
        <v>9500.7999999999993</v>
      </c>
    </row>
    <row r="37" spans="1:15" x14ac:dyDescent="0.75">
      <c r="A37" s="55" t="s">
        <v>15</v>
      </c>
      <c r="B37" s="9">
        <v>2</v>
      </c>
      <c r="C37" s="16">
        <v>76</v>
      </c>
      <c r="D37" s="16">
        <v>4680</v>
      </c>
      <c r="E37" s="40" t="s">
        <v>104</v>
      </c>
      <c r="F37" s="16">
        <v>936</v>
      </c>
      <c r="G37" s="186">
        <f t="shared" si="0"/>
        <v>5616</v>
      </c>
      <c r="L37" s="4"/>
      <c r="M37" s="103"/>
    </row>
    <row r="38" spans="1:15" x14ac:dyDescent="0.75">
      <c r="A38" s="55" t="s">
        <v>16</v>
      </c>
      <c r="B38" s="9">
        <v>4</v>
      </c>
      <c r="C38" s="16">
        <v>110</v>
      </c>
      <c r="D38" s="16">
        <v>7020</v>
      </c>
      <c r="E38" s="16">
        <v>500</v>
      </c>
      <c r="F38" s="40"/>
      <c r="G38" s="186">
        <f t="shared" si="0"/>
        <v>7520</v>
      </c>
      <c r="O38" s="14"/>
    </row>
    <row r="39" spans="1:15" x14ac:dyDescent="0.75">
      <c r="A39" s="55" t="s">
        <v>17</v>
      </c>
      <c r="B39" s="9">
        <v>6</v>
      </c>
      <c r="C39" s="16">
        <v>228</v>
      </c>
      <c r="D39" s="16">
        <v>14040</v>
      </c>
      <c r="E39" s="16">
        <v>700</v>
      </c>
      <c r="F39" s="16">
        <v>2340</v>
      </c>
      <c r="G39" s="186">
        <f t="shared" si="0"/>
        <v>17080</v>
      </c>
      <c r="O39" s="14"/>
    </row>
    <row r="40" spans="1:15" x14ac:dyDescent="0.75">
      <c r="A40" s="55" t="s">
        <v>105</v>
      </c>
      <c r="B40" s="9">
        <v>5</v>
      </c>
      <c r="C40" s="139">
        <v>152</v>
      </c>
      <c r="D40" s="139">
        <v>9700</v>
      </c>
      <c r="E40" s="16">
        <v>480</v>
      </c>
      <c r="F40" s="16">
        <v>96</v>
      </c>
      <c r="G40" s="186">
        <f t="shared" si="0"/>
        <v>10276</v>
      </c>
      <c r="O40" s="75"/>
    </row>
    <row r="41" spans="1:15" ht="16" x14ac:dyDescent="0.8">
      <c r="A41" s="48" t="s">
        <v>19</v>
      </c>
      <c r="B41" s="49">
        <v>25</v>
      </c>
      <c r="C41" s="140">
        <v>826</v>
      </c>
      <c r="D41" s="140">
        <f>SUM(D35:D40)</f>
        <v>51737.4</v>
      </c>
      <c r="E41" s="50">
        <f>SUM(E35:E40)</f>
        <v>3073.4</v>
      </c>
      <c r="F41" s="50">
        <f>SUM(F35:F40)</f>
        <v>5244</v>
      </c>
      <c r="G41" s="53">
        <f t="shared" si="0"/>
        <v>60054.8</v>
      </c>
    </row>
    <row r="42" spans="1:15" x14ac:dyDescent="0.75">
      <c r="A42" s="231" t="s">
        <v>20</v>
      </c>
      <c r="B42" s="231"/>
      <c r="C42" s="231"/>
      <c r="D42" s="231"/>
      <c r="E42" s="231"/>
      <c r="F42" s="231"/>
      <c r="G42" s="44">
        <f t="shared" ref="G42" si="1">SUM(D42:F42)</f>
        <v>0</v>
      </c>
    </row>
    <row r="43" spans="1:15" ht="16" x14ac:dyDescent="0.8">
      <c r="A43" s="54" t="s">
        <v>106</v>
      </c>
      <c r="B43" s="51">
        <f>+C43/38</f>
        <v>110.21052631578948</v>
      </c>
      <c r="C43" s="141">
        <v>4188</v>
      </c>
      <c r="D43" s="142">
        <f>+$C43*D41/$C41</f>
        <v>262319.89249394677</v>
      </c>
      <c r="E43" s="142">
        <f>+$C43*E41/$C41</f>
        <v>15582.807748184021</v>
      </c>
      <c r="F43" s="52">
        <f>+$C43*F41/$C41</f>
        <v>26588.222760290559</v>
      </c>
      <c r="G43" s="53">
        <f>SUM(D43:F43)</f>
        <v>304490.92300242133</v>
      </c>
      <c r="H43" s="87">
        <f>+G41+G43</f>
        <v>364545.72300242132</v>
      </c>
      <c r="J43" s="4"/>
      <c r="K43" s="4"/>
    </row>
    <row r="44" spans="1:15" x14ac:dyDescent="0.75">
      <c r="B44" s="88"/>
      <c r="C44" s="88"/>
      <c r="D44" s="88"/>
      <c r="E44" s="88"/>
      <c r="F44" s="88"/>
      <c r="G44" s="88"/>
    </row>
    <row r="45" spans="1:15" ht="18.5" x14ac:dyDescent="0.9">
      <c r="A45" s="212" t="s">
        <v>107</v>
      </c>
      <c r="B45" s="212"/>
      <c r="C45" s="212"/>
      <c r="D45" s="212"/>
      <c r="E45" s="212"/>
      <c r="F45" s="212"/>
      <c r="G45" s="212"/>
      <c r="H45" s="212"/>
      <c r="I45" s="212"/>
    </row>
    <row r="46" spans="1:15" x14ac:dyDescent="0.75">
      <c r="F46" s="232" t="s">
        <v>108</v>
      </c>
      <c r="G46" s="232"/>
      <c r="H46" s="117">
        <f>0.2781-0.055</f>
        <v>0.22310000000000002</v>
      </c>
    </row>
    <row r="47" spans="1:15" s="120" customFormat="1" ht="25.5" customHeight="1" x14ac:dyDescent="0.75">
      <c r="A47" s="119" t="s">
        <v>109</v>
      </c>
      <c r="B47" s="58" t="s">
        <v>5</v>
      </c>
      <c r="C47" s="58" t="s">
        <v>35</v>
      </c>
      <c r="D47" s="58" t="s">
        <v>101</v>
      </c>
      <c r="E47" s="58" t="s">
        <v>102</v>
      </c>
      <c r="F47" s="58" t="s">
        <v>103</v>
      </c>
      <c r="G47" s="58" t="s">
        <v>110</v>
      </c>
      <c r="H47" s="58" t="s">
        <v>111</v>
      </c>
      <c r="I47" s="58" t="s">
        <v>112</v>
      </c>
    </row>
    <row r="48" spans="1:15" x14ac:dyDescent="0.75">
      <c r="A48" s="13" t="s">
        <v>12</v>
      </c>
      <c r="B48" s="1">
        <f>+B41</f>
        <v>25</v>
      </c>
      <c r="C48" s="1">
        <v>826</v>
      </c>
      <c r="D48" s="7">
        <f>+D41</f>
        <v>51737.4</v>
      </c>
      <c r="E48" s="7">
        <f>+E41</f>
        <v>3073.4</v>
      </c>
      <c r="F48" s="7">
        <f>+F41</f>
        <v>5244</v>
      </c>
      <c r="G48" s="59">
        <f>SUM(D48:F48)</f>
        <v>60054.8</v>
      </c>
      <c r="H48" s="7">
        <f>+G48*H$46</f>
        <v>13398.225880000002</v>
      </c>
      <c r="I48" s="7">
        <f>+H48*40</f>
        <v>535929.03520000004</v>
      </c>
    </row>
    <row r="49" spans="1:12" x14ac:dyDescent="0.75">
      <c r="A49" s="54" t="s">
        <v>106</v>
      </c>
      <c r="B49" s="56">
        <f>+B43</f>
        <v>110.21052631578948</v>
      </c>
      <c r="C49" s="2">
        <v>4188</v>
      </c>
      <c r="D49" s="57">
        <f>+D43</f>
        <v>262319.89249394677</v>
      </c>
      <c r="E49" s="57">
        <f>+E43</f>
        <v>15582.807748184021</v>
      </c>
      <c r="F49" s="57">
        <f>+F43</f>
        <v>26588.222760290559</v>
      </c>
      <c r="G49" s="59">
        <f>SUM(D49:F49)</f>
        <v>304490.92300242133</v>
      </c>
      <c r="H49" s="7">
        <f>+G49*H$46</f>
        <v>67931.924921840211</v>
      </c>
      <c r="I49" s="7">
        <f>+H49*40</f>
        <v>2717276.9968736083</v>
      </c>
      <c r="K49" s="6"/>
      <c r="L49" s="6"/>
    </row>
    <row r="50" spans="1:12" x14ac:dyDescent="0.75">
      <c r="A50" s="175" t="s">
        <v>113</v>
      </c>
      <c r="B50" s="176">
        <f t="shared" ref="B50:G50" si="2">+B48+B49</f>
        <v>135.21052631578948</v>
      </c>
      <c r="C50" s="177">
        <f t="shared" si="2"/>
        <v>5014</v>
      </c>
      <c r="D50" s="177">
        <f t="shared" si="2"/>
        <v>314057.29249394679</v>
      </c>
      <c r="E50" s="177">
        <f t="shared" si="2"/>
        <v>18656.207748184021</v>
      </c>
      <c r="F50" s="177">
        <f t="shared" si="2"/>
        <v>31832.222760290559</v>
      </c>
      <c r="G50" s="178">
        <f t="shared" si="2"/>
        <v>364545.72300242132</v>
      </c>
      <c r="H50" s="179">
        <f>+G50*H$46</f>
        <v>81330.150801840209</v>
      </c>
      <c r="I50" s="179">
        <f>+H50*40</f>
        <v>3253206.0320736086</v>
      </c>
    </row>
    <row r="51" spans="1:12" ht="18.5" x14ac:dyDescent="0.9">
      <c r="A51" s="8"/>
    </row>
    <row r="52" spans="1:12" ht="18.5" x14ac:dyDescent="0.9">
      <c r="A52" s="212" t="s">
        <v>114</v>
      </c>
      <c r="B52" s="212"/>
      <c r="C52" s="212"/>
      <c r="D52" s="212"/>
      <c r="E52" s="212"/>
      <c r="F52" s="212"/>
      <c r="G52" s="212"/>
      <c r="H52" s="212"/>
    </row>
    <row r="53" spans="1:12" x14ac:dyDescent="0.75">
      <c r="B53" s="187"/>
      <c r="C53" s="233" t="s">
        <v>115</v>
      </c>
      <c r="D53" s="233"/>
      <c r="E53" s="188">
        <f>0.278-0.079</f>
        <v>0.19900000000000001</v>
      </c>
      <c r="F53" s="232" t="s">
        <v>108</v>
      </c>
      <c r="G53" s="232"/>
      <c r="H53" s="188">
        <f>0.2781-0.055</f>
        <v>0.22310000000000002</v>
      </c>
    </row>
    <row r="54" spans="1:12" x14ac:dyDescent="0.75">
      <c r="A54" s="230" t="s">
        <v>66</v>
      </c>
      <c r="B54" s="230"/>
      <c r="C54" s="228" t="s">
        <v>116</v>
      </c>
      <c r="D54" s="228"/>
      <c r="E54" s="229"/>
      <c r="F54" s="225" t="s">
        <v>117</v>
      </c>
      <c r="G54" s="226"/>
      <c r="H54" s="227"/>
    </row>
    <row r="55" spans="1:12" x14ac:dyDescent="0.75">
      <c r="A55" s="230"/>
      <c r="B55" s="230"/>
      <c r="C55" s="121" t="s">
        <v>35</v>
      </c>
      <c r="D55" s="122" t="s">
        <v>118</v>
      </c>
      <c r="E55" s="122" t="s">
        <v>119</v>
      </c>
      <c r="F55" s="123" t="s">
        <v>35</v>
      </c>
      <c r="G55" s="123" t="s">
        <v>118</v>
      </c>
      <c r="H55" s="123" t="s">
        <v>119</v>
      </c>
    </row>
    <row r="56" spans="1:12" x14ac:dyDescent="0.75">
      <c r="A56" s="223" t="s">
        <v>12</v>
      </c>
      <c r="B56" s="223"/>
      <c r="C56" s="5">
        <v>1000</v>
      </c>
      <c r="D56" s="5">
        <f>+C56*D58/C58</f>
        <v>940213</v>
      </c>
      <c r="E56" s="5">
        <f>+D56*E$53</f>
        <v>187102.38700000002</v>
      </c>
      <c r="F56" s="1">
        <v>826</v>
      </c>
      <c r="G56" s="100">
        <f>+G48</f>
        <v>60054.8</v>
      </c>
      <c r="H56" s="5">
        <f>+G56*H$53</f>
        <v>13398.225880000002</v>
      </c>
    </row>
    <row r="57" spans="1:12" x14ac:dyDescent="0.75">
      <c r="A57" s="223" t="s">
        <v>106</v>
      </c>
      <c r="B57" s="223"/>
      <c r="C57" s="101"/>
      <c r="D57" s="101"/>
      <c r="E57" s="101"/>
      <c r="F57" s="1">
        <v>4188</v>
      </c>
      <c r="G57" s="100">
        <f>+G49</f>
        <v>304490.92300242133</v>
      </c>
      <c r="H57" s="5">
        <f>+G57*H$53</f>
        <v>67931.924921840211</v>
      </c>
    </row>
    <row r="58" spans="1:12" x14ac:dyDescent="0.75">
      <c r="A58" s="223" t="s">
        <v>30</v>
      </c>
      <c r="B58" s="223"/>
      <c r="C58" s="44">
        <f>SUM(C56:C56)</f>
        <v>1000</v>
      </c>
      <c r="D58" s="42">
        <v>940213</v>
      </c>
      <c r="E58" s="42">
        <f>+D58*E$53</f>
        <v>187102.38700000002</v>
      </c>
      <c r="F58" s="44"/>
      <c r="G58" s="42"/>
      <c r="H58" s="42"/>
    </row>
    <row r="61" spans="1:12" x14ac:dyDescent="0.75">
      <c r="F61" t="s">
        <v>32</v>
      </c>
    </row>
  </sheetData>
  <mergeCells count="19">
    <mergeCell ref="A31:G31"/>
    <mergeCell ref="A45:I45"/>
    <mergeCell ref="A52:H52"/>
    <mergeCell ref="A57:B57"/>
    <mergeCell ref="A58:B58"/>
    <mergeCell ref="G32:G33"/>
    <mergeCell ref="F54:H54"/>
    <mergeCell ref="C54:E54"/>
    <mergeCell ref="A54:B55"/>
    <mergeCell ref="A32:A33"/>
    <mergeCell ref="B32:B33"/>
    <mergeCell ref="C32:C33"/>
    <mergeCell ref="D32:F32"/>
    <mergeCell ref="A34:F34"/>
    <mergeCell ref="A42:F42"/>
    <mergeCell ref="A56:B56"/>
    <mergeCell ref="F46:G46"/>
    <mergeCell ref="F53:G53"/>
    <mergeCell ref="C53:D5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4CD33-632B-4FF1-9222-FC5C0CEC21C3}">
  <dimension ref="A1:K39"/>
  <sheetViews>
    <sheetView topLeftCell="E29" zoomScale="85" zoomScaleNormal="85" workbookViewId="0">
      <selection activeCell="G43" sqref="G43"/>
    </sheetView>
  </sheetViews>
  <sheetFormatPr defaultRowHeight="14.75" x14ac:dyDescent="0.75"/>
  <cols>
    <col min="2" max="2" width="31.40625" customWidth="1"/>
    <col min="3" max="5" width="19.1328125" customWidth="1"/>
    <col min="6" max="6" width="30.26953125" customWidth="1"/>
    <col min="7" max="8" width="29" customWidth="1"/>
    <col min="9" max="9" width="23.40625" customWidth="1"/>
    <col min="10" max="10" width="12.26953125" customWidth="1"/>
    <col min="11" max="11" width="9.7265625" customWidth="1"/>
    <col min="12" max="12" width="16.1328125" customWidth="1"/>
  </cols>
  <sheetData>
    <row r="1" spans="2:6" ht="18.5" x14ac:dyDescent="0.9">
      <c r="B1" s="241" t="s">
        <v>120</v>
      </c>
      <c r="C1" s="241"/>
      <c r="D1" s="241"/>
      <c r="E1" s="241"/>
      <c r="F1" s="241"/>
    </row>
    <row r="2" spans="2:6" x14ac:dyDescent="0.75">
      <c r="B2" s="24" t="s">
        <v>33</v>
      </c>
      <c r="C2" s="24">
        <v>2021</v>
      </c>
      <c r="D2" s="24">
        <v>2022</v>
      </c>
      <c r="E2" s="24" t="s">
        <v>35</v>
      </c>
      <c r="F2" s="24" t="s">
        <v>36</v>
      </c>
    </row>
    <row r="3" spans="2:6" x14ac:dyDescent="0.75">
      <c r="B3" s="25" t="s">
        <v>121</v>
      </c>
      <c r="C3" s="182">
        <v>66500000</v>
      </c>
      <c r="D3" s="182">
        <v>66900000</v>
      </c>
      <c r="E3" s="183" t="s">
        <v>122</v>
      </c>
      <c r="F3" s="183" t="s">
        <v>123</v>
      </c>
    </row>
    <row r="4" spans="2:6" x14ac:dyDescent="0.75">
      <c r="B4" s="25" t="s">
        <v>124</v>
      </c>
      <c r="C4" s="25">
        <v>56.9</v>
      </c>
      <c r="D4" s="25">
        <v>57.4</v>
      </c>
      <c r="E4" s="25" t="s">
        <v>125</v>
      </c>
      <c r="F4" s="25" t="s">
        <v>123</v>
      </c>
    </row>
    <row r="5" spans="2:6" x14ac:dyDescent="0.75">
      <c r="B5" s="25" t="s">
        <v>126</v>
      </c>
      <c r="C5" s="25">
        <v>66.900000000000006</v>
      </c>
      <c r="D5" s="25">
        <v>65</v>
      </c>
      <c r="E5" s="25" t="s">
        <v>125</v>
      </c>
      <c r="F5" s="25" t="s">
        <v>123</v>
      </c>
    </row>
    <row r="6" spans="2:6" ht="27" x14ac:dyDescent="0.75">
      <c r="B6" s="25" t="s">
        <v>127</v>
      </c>
      <c r="C6" s="25">
        <v>0.31</v>
      </c>
      <c r="D6" s="25">
        <v>0.3</v>
      </c>
      <c r="E6" s="25" t="s">
        <v>128</v>
      </c>
      <c r="F6" s="25" t="s">
        <v>123</v>
      </c>
    </row>
    <row r="7" spans="2:6" ht="27" x14ac:dyDescent="0.75">
      <c r="B7" s="25" t="s">
        <v>129</v>
      </c>
      <c r="C7" s="25">
        <v>0.39</v>
      </c>
      <c r="D7" s="25">
        <v>0.39</v>
      </c>
      <c r="E7" s="25" t="s">
        <v>128</v>
      </c>
      <c r="F7" s="25" t="s">
        <v>123</v>
      </c>
    </row>
    <row r="8" spans="2:6" ht="27" x14ac:dyDescent="0.75">
      <c r="B8" s="25" t="s">
        <v>130</v>
      </c>
      <c r="C8" s="25">
        <v>0.31</v>
      </c>
      <c r="D8" s="25">
        <v>0.33</v>
      </c>
      <c r="E8" s="25" t="s">
        <v>128</v>
      </c>
      <c r="F8" s="25" t="s">
        <v>123</v>
      </c>
    </row>
    <row r="9" spans="2:6" ht="27" x14ac:dyDescent="0.75">
      <c r="B9" s="25" t="s">
        <v>131</v>
      </c>
      <c r="C9" s="25">
        <v>4.2</v>
      </c>
      <c r="D9" s="25">
        <v>4.0999999999999996</v>
      </c>
      <c r="E9" s="25" t="s">
        <v>132</v>
      </c>
      <c r="F9" s="25" t="s">
        <v>123</v>
      </c>
    </row>
    <row r="10" spans="2:6" x14ac:dyDescent="0.75">
      <c r="B10" s="25" t="s">
        <v>133</v>
      </c>
      <c r="C10" s="26">
        <v>380288</v>
      </c>
      <c r="D10" s="26">
        <v>327961</v>
      </c>
      <c r="E10" s="25" t="s">
        <v>132</v>
      </c>
      <c r="F10" s="25" t="s">
        <v>123</v>
      </c>
    </row>
    <row r="11" spans="2:6" x14ac:dyDescent="0.75">
      <c r="B11" s="25" t="s">
        <v>134</v>
      </c>
      <c r="C11" s="243">
        <v>0.625</v>
      </c>
      <c r="D11" s="243"/>
      <c r="E11" s="25" t="s">
        <v>41</v>
      </c>
      <c r="F11" s="25" t="s">
        <v>123</v>
      </c>
    </row>
    <row r="12" spans="2:6" x14ac:dyDescent="0.75">
      <c r="B12" s="25" t="s">
        <v>135</v>
      </c>
      <c r="C12" s="26">
        <v>228173</v>
      </c>
      <c r="D12" s="26">
        <v>196777</v>
      </c>
      <c r="E12" s="25" t="s">
        <v>132</v>
      </c>
      <c r="F12" s="25" t="s">
        <v>123</v>
      </c>
    </row>
    <row r="13" spans="2:6" ht="27" x14ac:dyDescent="0.75">
      <c r="B13" s="25" t="s">
        <v>136</v>
      </c>
      <c r="C13" s="243">
        <v>0.375</v>
      </c>
      <c r="D13" s="243"/>
      <c r="E13" s="25" t="s">
        <v>41</v>
      </c>
      <c r="F13" s="25" t="s">
        <v>123</v>
      </c>
    </row>
    <row r="14" spans="2:6" ht="54" x14ac:dyDescent="0.75">
      <c r="B14" s="25" t="s">
        <v>137</v>
      </c>
      <c r="C14" s="238">
        <v>0.88400000000000001</v>
      </c>
      <c r="D14" s="238"/>
      <c r="E14" s="25" t="s">
        <v>138</v>
      </c>
      <c r="F14" s="25" t="s">
        <v>139</v>
      </c>
    </row>
    <row r="15" spans="2:6" ht="40.5" x14ac:dyDescent="0.75">
      <c r="B15" s="25" t="s">
        <v>140</v>
      </c>
      <c r="C15" s="238">
        <v>2.67</v>
      </c>
      <c r="D15" s="238"/>
      <c r="E15" s="25" t="s">
        <v>141</v>
      </c>
      <c r="F15" s="25" t="s">
        <v>142</v>
      </c>
    </row>
    <row r="16" spans="2:6" ht="40.5" x14ac:dyDescent="0.75">
      <c r="B16" s="25" t="s">
        <v>143</v>
      </c>
      <c r="C16" s="238">
        <v>2.27</v>
      </c>
      <c r="D16" s="238"/>
      <c r="E16" s="25" t="s">
        <v>141</v>
      </c>
      <c r="F16" s="25" t="s">
        <v>142</v>
      </c>
    </row>
    <row r="17" spans="1:10" ht="27" x14ac:dyDescent="0.75">
      <c r="B17" s="25" t="s">
        <v>144</v>
      </c>
      <c r="C17" s="236">
        <v>6763.87</v>
      </c>
      <c r="D17" s="236"/>
      <c r="E17" s="25" t="s">
        <v>58</v>
      </c>
      <c r="F17" s="25" t="s">
        <v>145</v>
      </c>
    </row>
    <row r="18" spans="1:10" x14ac:dyDescent="0.75">
      <c r="B18" s="25" t="s">
        <v>146</v>
      </c>
      <c r="C18" s="236">
        <v>1490</v>
      </c>
      <c r="D18" s="236"/>
      <c r="E18" s="25" t="s">
        <v>147</v>
      </c>
      <c r="F18" s="25" t="s">
        <v>145</v>
      </c>
    </row>
    <row r="19" spans="1:10" x14ac:dyDescent="0.75">
      <c r="B19" s="25" t="s">
        <v>148</v>
      </c>
      <c r="C19" s="236">
        <v>1095</v>
      </c>
      <c r="D19" s="236"/>
      <c r="E19" s="25" t="s">
        <v>147</v>
      </c>
      <c r="F19" s="25" t="s">
        <v>145</v>
      </c>
    </row>
    <row r="20" spans="1:10" ht="27" x14ac:dyDescent="0.75">
      <c r="B20" s="25" t="s">
        <v>57</v>
      </c>
      <c r="C20" s="237">
        <f>+EE!G50</f>
        <v>364545.72300242132</v>
      </c>
      <c r="D20" s="237"/>
      <c r="E20" s="25" t="s">
        <v>58</v>
      </c>
      <c r="F20" s="25" t="s">
        <v>149</v>
      </c>
    </row>
    <row r="23" spans="1:10" ht="18.5" x14ac:dyDescent="0.9">
      <c r="A23" s="213" t="s">
        <v>150</v>
      </c>
      <c r="B23" s="235"/>
      <c r="C23" s="235"/>
      <c r="D23" s="235"/>
      <c r="E23" s="235"/>
      <c r="F23" s="235"/>
      <c r="G23" s="235"/>
      <c r="H23" s="235"/>
    </row>
    <row r="24" spans="1:10" x14ac:dyDescent="0.75">
      <c r="A24" s="24" t="s">
        <v>151</v>
      </c>
      <c r="B24" s="24" t="s">
        <v>64</v>
      </c>
      <c r="C24" s="24">
        <v>2021</v>
      </c>
      <c r="D24" s="24">
        <v>2022</v>
      </c>
      <c r="E24" s="24" t="s">
        <v>35</v>
      </c>
      <c r="F24" s="24" t="s">
        <v>66</v>
      </c>
      <c r="G24" s="24" t="s">
        <v>67</v>
      </c>
      <c r="H24" s="24" t="s">
        <v>67</v>
      </c>
    </row>
    <row r="25" spans="1:10" ht="40.5" x14ac:dyDescent="0.75">
      <c r="A25" s="25">
        <v>1.1000000000000001</v>
      </c>
      <c r="B25" s="25" t="s">
        <v>152</v>
      </c>
      <c r="C25" s="27">
        <v>58786</v>
      </c>
      <c r="D25" s="27">
        <v>59139.6</v>
      </c>
      <c r="E25" s="25" t="s">
        <v>95</v>
      </c>
      <c r="F25" s="25" t="s">
        <v>153</v>
      </c>
      <c r="G25" s="25" t="s">
        <v>154</v>
      </c>
      <c r="H25" s="25" t="s">
        <v>155</v>
      </c>
    </row>
    <row r="26" spans="1:10" ht="54" x14ac:dyDescent="0.75">
      <c r="A26" s="25">
        <v>1.2</v>
      </c>
      <c r="B26" s="25" t="s">
        <v>156</v>
      </c>
      <c r="C26" s="27">
        <v>1533.32</v>
      </c>
      <c r="D26" s="27">
        <v>1322.34</v>
      </c>
      <c r="E26" s="25" t="s">
        <v>95</v>
      </c>
      <c r="F26" s="25" t="s">
        <v>157</v>
      </c>
      <c r="G26" s="25" t="s">
        <v>158</v>
      </c>
      <c r="H26" s="25" t="s">
        <v>159</v>
      </c>
    </row>
    <row r="27" spans="1:10" ht="27" x14ac:dyDescent="0.75">
      <c r="A27" s="25">
        <v>1.3</v>
      </c>
      <c r="B27" s="25" t="s">
        <v>160</v>
      </c>
      <c r="C27" s="27">
        <v>60319.32</v>
      </c>
      <c r="D27" s="27">
        <v>60461.94</v>
      </c>
      <c r="E27" s="25" t="s">
        <v>95</v>
      </c>
      <c r="F27" s="25" t="s">
        <v>161</v>
      </c>
      <c r="G27" s="25" t="s">
        <v>162</v>
      </c>
      <c r="H27" s="25" t="s">
        <v>163</v>
      </c>
    </row>
    <row r="28" spans="1:10" ht="40.5" x14ac:dyDescent="0.75">
      <c r="A28" s="25">
        <v>1.4</v>
      </c>
      <c r="B28" s="25" t="s">
        <v>164</v>
      </c>
      <c r="C28" s="25">
        <v>1.06</v>
      </c>
      <c r="D28" s="25">
        <v>1.0529999999999999</v>
      </c>
      <c r="E28" s="25" t="s">
        <v>165</v>
      </c>
      <c r="F28" s="25" t="s">
        <v>166</v>
      </c>
      <c r="G28" s="25" t="s">
        <v>167</v>
      </c>
      <c r="H28" s="25" t="s">
        <v>168</v>
      </c>
    </row>
    <row r="29" spans="1:10" ht="54" x14ac:dyDescent="0.75">
      <c r="A29" s="25">
        <v>1.5</v>
      </c>
      <c r="B29" s="25" t="s">
        <v>169</v>
      </c>
      <c r="C29" s="238">
        <v>1.0569999999999999</v>
      </c>
      <c r="D29" s="238"/>
      <c r="E29" s="25" t="s">
        <v>165</v>
      </c>
      <c r="F29" s="25" t="s">
        <v>170</v>
      </c>
      <c r="G29" s="238" t="s">
        <v>171</v>
      </c>
      <c r="H29" s="238"/>
    </row>
    <row r="30" spans="1:10" ht="54" x14ac:dyDescent="0.75">
      <c r="A30" s="25">
        <v>1.6</v>
      </c>
      <c r="B30" s="25" t="s">
        <v>172</v>
      </c>
      <c r="C30" s="238">
        <v>0.7</v>
      </c>
      <c r="D30" s="238"/>
      <c r="E30" s="25" t="s">
        <v>173</v>
      </c>
      <c r="F30" s="25" t="s">
        <v>174</v>
      </c>
      <c r="G30" s="238" t="s">
        <v>175</v>
      </c>
      <c r="H30" s="238"/>
    </row>
    <row r="31" spans="1:10" ht="35.25" customHeight="1" x14ac:dyDescent="0.75">
      <c r="A31" s="238">
        <v>1.7</v>
      </c>
      <c r="B31" s="238" t="s">
        <v>176</v>
      </c>
      <c r="C31" s="244">
        <v>162</v>
      </c>
      <c r="D31" s="244"/>
      <c r="E31" s="244" t="s">
        <v>91</v>
      </c>
      <c r="F31" s="244" t="s">
        <v>177</v>
      </c>
      <c r="G31" s="240" t="s">
        <v>178</v>
      </c>
      <c r="H31" s="240"/>
      <c r="I31" s="242"/>
      <c r="J31" s="234"/>
    </row>
    <row r="32" spans="1:10" x14ac:dyDescent="0.75">
      <c r="A32" s="238"/>
      <c r="B32" s="238"/>
      <c r="C32" s="244"/>
      <c r="D32" s="244"/>
      <c r="E32" s="244"/>
      <c r="F32" s="244"/>
      <c r="G32" s="240"/>
      <c r="H32" s="240"/>
      <c r="I32" s="242"/>
      <c r="J32" s="234"/>
    </row>
    <row r="33" spans="1:11" ht="40.5" x14ac:dyDescent="0.75">
      <c r="A33" s="25">
        <v>1.8</v>
      </c>
      <c r="B33" s="25" t="s">
        <v>94</v>
      </c>
      <c r="C33" s="239">
        <v>6465</v>
      </c>
      <c r="D33" s="239"/>
      <c r="E33" s="183" t="s">
        <v>95</v>
      </c>
      <c r="F33" s="183" t="s">
        <v>179</v>
      </c>
      <c r="G33" s="240" t="s">
        <v>180</v>
      </c>
      <c r="H33" s="240"/>
      <c r="I33" s="98"/>
      <c r="J33" s="125"/>
    </row>
    <row r="34" spans="1:11" x14ac:dyDescent="0.75">
      <c r="G34" s="4"/>
      <c r="J34" s="125"/>
    </row>
    <row r="35" spans="1:11" ht="18.5" x14ac:dyDescent="0.9">
      <c r="B35" s="213" t="s">
        <v>181</v>
      </c>
      <c r="C35" s="213"/>
      <c r="D35" s="213"/>
      <c r="E35" s="213"/>
      <c r="F35" s="213"/>
      <c r="J35" s="4"/>
    </row>
    <row r="36" spans="1:11" x14ac:dyDescent="0.75">
      <c r="B36" s="43" t="s">
        <v>24</v>
      </c>
      <c r="C36" s="43" t="s">
        <v>182</v>
      </c>
      <c r="D36" s="43" t="s">
        <v>183</v>
      </c>
      <c r="E36" s="58" t="s">
        <v>184</v>
      </c>
      <c r="F36" s="58" t="s">
        <v>185</v>
      </c>
    </row>
    <row r="37" spans="1:11" x14ac:dyDescent="0.75">
      <c r="B37" s="13" t="s">
        <v>12</v>
      </c>
      <c r="C37" s="138">
        <v>826</v>
      </c>
      <c r="D37" s="74">
        <f>+EE!G41</f>
        <v>60054.8</v>
      </c>
      <c r="E37" s="5">
        <f>+D37*(C29*C30/1000)</f>
        <v>44.434546519999998</v>
      </c>
      <c r="F37" s="126">
        <f>E37*40</f>
        <v>1777.3818607999999</v>
      </c>
    </row>
    <row r="38" spans="1:11" x14ac:dyDescent="0.75">
      <c r="B38" s="54" t="s">
        <v>20</v>
      </c>
      <c r="C38" s="2">
        <v>4188</v>
      </c>
      <c r="D38" s="74">
        <f>+EE!G43</f>
        <v>304490.92300242133</v>
      </c>
      <c r="E38" s="5">
        <f>+D38*(C29*C30/1000)</f>
        <v>225.29283392949154</v>
      </c>
      <c r="F38" s="126">
        <f t="shared" ref="F38" si="0">E38*40</f>
        <v>9011.7133571796621</v>
      </c>
      <c r="K38" s="124"/>
    </row>
    <row r="39" spans="1:11" x14ac:dyDescent="0.75">
      <c r="B39" s="127" t="s">
        <v>186</v>
      </c>
      <c r="C39" s="128">
        <f>C37+C38</f>
        <v>5014</v>
      </c>
      <c r="D39" s="129">
        <f>+D37+D38</f>
        <v>364545.72300242132</v>
      </c>
      <c r="E39" s="129">
        <f>+E37+E38</f>
        <v>269.72738044949153</v>
      </c>
      <c r="F39" s="130">
        <f>E39*40</f>
        <v>10789.095217979662</v>
      </c>
    </row>
  </sheetData>
  <mergeCells count="26">
    <mergeCell ref="C33:D33"/>
    <mergeCell ref="G33:H33"/>
    <mergeCell ref="B1:F1"/>
    <mergeCell ref="B35:F35"/>
    <mergeCell ref="I31:I32"/>
    <mergeCell ref="C11:D11"/>
    <mergeCell ref="C13:D13"/>
    <mergeCell ref="C14:D14"/>
    <mergeCell ref="C15:D15"/>
    <mergeCell ref="C16:D16"/>
    <mergeCell ref="C17:D17"/>
    <mergeCell ref="C29:D29"/>
    <mergeCell ref="G29:H29"/>
    <mergeCell ref="C30:D30"/>
    <mergeCell ref="G30:H30"/>
    <mergeCell ref="G31:H32"/>
    <mergeCell ref="J31:J32"/>
    <mergeCell ref="A23:H23"/>
    <mergeCell ref="C18:D18"/>
    <mergeCell ref="C19:D19"/>
    <mergeCell ref="C20:D20"/>
    <mergeCell ref="A31:A32"/>
    <mergeCell ref="B31:B32"/>
    <mergeCell ref="C31:D32"/>
    <mergeCell ref="E31:E32"/>
    <mergeCell ref="F31:F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4F151-2B69-487F-A3CA-D0586EFD693C}">
  <dimension ref="A1:K41"/>
  <sheetViews>
    <sheetView zoomScale="85" zoomScaleNormal="85" workbookViewId="0">
      <selection activeCell="G24" sqref="G24"/>
    </sheetView>
  </sheetViews>
  <sheetFormatPr defaultRowHeight="14.75" x14ac:dyDescent="0.75"/>
  <cols>
    <col min="1" max="1" width="4.1328125" customWidth="1"/>
    <col min="2" max="2" width="21.54296875" customWidth="1"/>
    <col min="3" max="6" width="17" customWidth="1"/>
    <col min="7" max="7" width="16.40625" customWidth="1"/>
    <col min="8" max="8" width="19.7265625" customWidth="1"/>
    <col min="9" max="9" width="16.40625" customWidth="1"/>
    <col min="10" max="10" width="18.26953125" customWidth="1"/>
    <col min="11" max="11" width="17.40625" customWidth="1"/>
    <col min="12" max="12" width="11.54296875" customWidth="1"/>
  </cols>
  <sheetData>
    <row r="1" spans="1:9" ht="15" customHeight="1" x14ac:dyDescent="0.75"/>
    <row r="2" spans="1:9" ht="25.5" customHeight="1" x14ac:dyDescent="0.75">
      <c r="A2" s="247" t="s">
        <v>187</v>
      </c>
      <c r="B2" s="247"/>
      <c r="C2" s="247"/>
      <c r="D2" s="247"/>
      <c r="E2" s="247"/>
      <c r="F2" s="247"/>
    </row>
    <row r="3" spans="1:9" ht="16.5" customHeight="1" x14ac:dyDescent="0.75">
      <c r="D3" s="246" t="s">
        <v>188</v>
      </c>
      <c r="E3" s="246"/>
      <c r="F3" s="1">
        <v>4</v>
      </c>
    </row>
    <row r="4" spans="1:9" x14ac:dyDescent="0.75">
      <c r="A4" s="34"/>
      <c r="B4" s="35" t="s">
        <v>189</v>
      </c>
      <c r="C4" s="35" t="s">
        <v>190</v>
      </c>
      <c r="D4" s="35" t="s">
        <v>191</v>
      </c>
      <c r="E4" s="35" t="s">
        <v>192</v>
      </c>
      <c r="F4" s="35" t="s">
        <v>193</v>
      </c>
    </row>
    <row r="5" spans="1:9" x14ac:dyDescent="0.75">
      <c r="A5" s="30">
        <v>1</v>
      </c>
      <c r="B5" s="29" t="s">
        <v>194</v>
      </c>
      <c r="C5" s="30">
        <v>30</v>
      </c>
      <c r="D5" s="31">
        <f>+C5/4</f>
        <v>7.5</v>
      </c>
      <c r="E5" s="30">
        <v>100</v>
      </c>
      <c r="F5" s="30">
        <f>+D5*E5</f>
        <v>750</v>
      </c>
    </row>
    <row r="6" spans="1:9" x14ac:dyDescent="0.75">
      <c r="A6" s="30">
        <v>2</v>
      </c>
      <c r="B6" s="29" t="s">
        <v>195</v>
      </c>
      <c r="C6" s="30">
        <v>27</v>
      </c>
      <c r="D6" s="31">
        <f>+C6/F$3</f>
        <v>6.75</v>
      </c>
      <c r="E6" s="30">
        <v>50</v>
      </c>
      <c r="F6" s="30">
        <f t="shared" ref="F6:F11" si="0">+D6*E6</f>
        <v>337.5</v>
      </c>
    </row>
    <row r="7" spans="1:9" x14ac:dyDescent="0.75">
      <c r="A7" s="30">
        <v>3</v>
      </c>
      <c r="B7" s="29" t="s">
        <v>196</v>
      </c>
      <c r="C7" s="30">
        <v>46</v>
      </c>
      <c r="D7" s="31">
        <f>+C7/F$3</f>
        <v>11.5</v>
      </c>
      <c r="E7" s="30">
        <v>10</v>
      </c>
      <c r="F7" s="30">
        <f t="shared" si="0"/>
        <v>115</v>
      </c>
    </row>
    <row r="8" spans="1:9" x14ac:dyDescent="0.75">
      <c r="A8" s="30">
        <v>4</v>
      </c>
      <c r="B8" s="29" t="s">
        <v>196</v>
      </c>
      <c r="C8" s="30">
        <v>33</v>
      </c>
      <c r="D8" s="31">
        <f>+C8/F$3</f>
        <v>8.25</v>
      </c>
      <c r="E8" s="30">
        <v>12</v>
      </c>
      <c r="F8" s="30">
        <f t="shared" si="0"/>
        <v>99</v>
      </c>
    </row>
    <row r="9" spans="1:9" x14ac:dyDescent="0.75">
      <c r="A9" s="36"/>
      <c r="B9" s="35" t="s">
        <v>197</v>
      </c>
      <c r="C9" s="36"/>
      <c r="D9" s="37"/>
      <c r="E9" s="36"/>
      <c r="F9" s="36"/>
    </row>
    <row r="10" spans="1:9" x14ac:dyDescent="0.75">
      <c r="A10" s="30">
        <v>5</v>
      </c>
      <c r="B10" s="33" t="s">
        <v>198</v>
      </c>
      <c r="C10" s="33">
        <v>25</v>
      </c>
      <c r="D10" s="31">
        <f>+C10/F$3</f>
        <v>6.25</v>
      </c>
      <c r="E10" s="33">
        <v>72</v>
      </c>
      <c r="F10" s="30">
        <f t="shared" si="0"/>
        <v>450</v>
      </c>
    </row>
    <row r="11" spans="1:9" x14ac:dyDescent="0.75">
      <c r="A11" s="30">
        <v>6</v>
      </c>
      <c r="B11" s="33" t="s">
        <v>199</v>
      </c>
      <c r="C11" s="33">
        <v>55</v>
      </c>
      <c r="D11" s="31">
        <f>+C11/F$3</f>
        <v>13.75</v>
      </c>
      <c r="E11" s="33">
        <v>60</v>
      </c>
      <c r="F11" s="30">
        <f t="shared" si="0"/>
        <v>825</v>
      </c>
    </row>
    <row r="12" spans="1:9" ht="18.5" x14ac:dyDescent="0.9">
      <c r="A12" s="248" t="s">
        <v>200</v>
      </c>
      <c r="B12" s="248"/>
      <c r="C12" s="248"/>
      <c r="D12" s="248"/>
      <c r="E12" s="71">
        <f>SUM(E5:E11)</f>
        <v>304</v>
      </c>
      <c r="F12" s="72">
        <f>SUM(F5:F11)</f>
        <v>2576.5</v>
      </c>
      <c r="G12" s="38"/>
      <c r="H12" s="38"/>
      <c r="I12" s="38"/>
    </row>
    <row r="13" spans="1:9" ht="14.25" customHeight="1" x14ac:dyDescent="0.75"/>
    <row r="14" spans="1:9" ht="25.5" customHeight="1" x14ac:dyDescent="0.75">
      <c r="B14" s="247" t="s">
        <v>201</v>
      </c>
      <c r="C14" s="247"/>
      <c r="D14" s="247"/>
      <c r="E14" s="247"/>
      <c r="F14" s="247"/>
      <c r="G14" s="247"/>
    </row>
    <row r="15" spans="1:9" x14ac:dyDescent="0.75">
      <c r="B15" s="245" t="s">
        <v>202</v>
      </c>
      <c r="C15" s="245" t="s">
        <v>182</v>
      </c>
      <c r="D15" s="245"/>
      <c r="E15" s="245" t="s">
        <v>12</v>
      </c>
      <c r="F15" s="245" t="s">
        <v>20</v>
      </c>
      <c r="G15" s="245" t="s">
        <v>30</v>
      </c>
      <c r="I15" s="132"/>
    </row>
    <row r="16" spans="1:9" x14ac:dyDescent="0.75">
      <c r="B16" s="245"/>
      <c r="C16" s="245"/>
      <c r="D16" s="245"/>
      <c r="E16" s="245"/>
      <c r="F16" s="245"/>
      <c r="G16" s="245"/>
      <c r="I16" s="133"/>
    </row>
    <row r="17" spans="1:11" x14ac:dyDescent="0.75">
      <c r="B17" s="85" t="s">
        <v>203</v>
      </c>
      <c r="C17" s="137">
        <v>4988</v>
      </c>
      <c r="D17" s="134" t="s">
        <v>204</v>
      </c>
      <c r="E17" s="135">
        <v>826</v>
      </c>
      <c r="F17" s="135">
        <v>4188</v>
      </c>
      <c r="G17" s="136">
        <f t="shared" ref="G17:G23" si="1">+E17+F17</f>
        <v>5014</v>
      </c>
      <c r="I17" s="99"/>
    </row>
    <row r="18" spans="1:11" x14ac:dyDescent="0.75">
      <c r="B18" s="85" t="s">
        <v>205</v>
      </c>
      <c r="C18" s="172">
        <f>+F12</f>
        <v>2576.5</v>
      </c>
      <c r="D18" s="134" t="s">
        <v>206</v>
      </c>
      <c r="E18" s="135">
        <f t="shared" ref="E18:E19" si="2">+$C18*E17</f>
        <v>2128189</v>
      </c>
      <c r="F18" s="135">
        <f>+$C18*F17</f>
        <v>10790382</v>
      </c>
      <c r="G18" s="136">
        <f t="shared" si="1"/>
        <v>12918571</v>
      </c>
      <c r="I18" s="14"/>
    </row>
    <row r="19" spans="1:11" x14ac:dyDescent="0.75">
      <c r="B19" s="85" t="s">
        <v>207</v>
      </c>
      <c r="C19" s="173">
        <v>6</v>
      </c>
      <c r="D19" s="134" t="s">
        <v>208</v>
      </c>
      <c r="E19" s="135">
        <f t="shared" si="2"/>
        <v>12769134</v>
      </c>
      <c r="F19" s="135">
        <f>+$C19*F18</f>
        <v>64742292</v>
      </c>
      <c r="G19" s="136">
        <f t="shared" si="1"/>
        <v>77511426</v>
      </c>
      <c r="I19" s="14"/>
    </row>
    <row r="20" spans="1:11" ht="27.25" x14ac:dyDescent="0.75">
      <c r="B20" s="86" t="s">
        <v>209</v>
      </c>
      <c r="C20" s="173">
        <v>365</v>
      </c>
      <c r="D20" s="134" t="s">
        <v>210</v>
      </c>
      <c r="E20" s="135">
        <f>+$C20*E19/1000000</f>
        <v>4660.7339099999999</v>
      </c>
      <c r="F20" s="135">
        <f>+$C20*F19/1000000</f>
        <v>23630.936580000001</v>
      </c>
      <c r="G20" s="136">
        <f t="shared" si="1"/>
        <v>28291.67049</v>
      </c>
      <c r="I20" s="14"/>
    </row>
    <row r="21" spans="1:11" ht="27" x14ac:dyDescent="0.75">
      <c r="A21">
        <v>1.5</v>
      </c>
      <c r="B21" s="73" t="s">
        <v>211</v>
      </c>
      <c r="C21" s="174">
        <v>0.5</v>
      </c>
      <c r="D21" s="134" t="s">
        <v>210</v>
      </c>
      <c r="E21" s="135">
        <f>+$A21*E20</f>
        <v>6991.1008650000003</v>
      </c>
      <c r="F21" s="135">
        <f>+$A21*F20</f>
        <v>35446.404869999998</v>
      </c>
      <c r="G21" s="136">
        <f t="shared" si="1"/>
        <v>42437.505734999999</v>
      </c>
      <c r="I21" s="14"/>
    </row>
    <row r="22" spans="1:11" x14ac:dyDescent="0.75">
      <c r="B22" s="73" t="s">
        <v>212</v>
      </c>
      <c r="C22" s="137"/>
      <c r="D22" s="134" t="s">
        <v>210</v>
      </c>
      <c r="E22" s="135">
        <f>+E21+-E20</f>
        <v>2330.3669550000004</v>
      </c>
      <c r="F22" s="135">
        <f>+F21+-F20</f>
        <v>11815.468289999997</v>
      </c>
      <c r="G22" s="136">
        <f t="shared" si="1"/>
        <v>14145.835244999998</v>
      </c>
      <c r="I22" s="14"/>
    </row>
    <row r="23" spans="1:11" ht="27.25" x14ac:dyDescent="0.75">
      <c r="B23" s="86" t="s">
        <v>213</v>
      </c>
      <c r="C23" s="137">
        <v>1.103</v>
      </c>
      <c r="D23" s="134" t="s">
        <v>214</v>
      </c>
      <c r="E23" s="135">
        <f>+$C23*E22</f>
        <v>2570.3947513650005</v>
      </c>
      <c r="F23" s="135">
        <f>+$C23*F22</f>
        <v>13032.461523869997</v>
      </c>
      <c r="G23" s="136">
        <f t="shared" si="1"/>
        <v>15602.856275234997</v>
      </c>
      <c r="I23" s="14"/>
    </row>
    <row r="24" spans="1:11" x14ac:dyDescent="0.75">
      <c r="B24" s="32"/>
    </row>
    <row r="25" spans="1:11" ht="18.5" x14ac:dyDescent="0.9">
      <c r="B25" s="213" t="s">
        <v>215</v>
      </c>
      <c r="C25" s="213"/>
      <c r="D25" s="213"/>
      <c r="E25" s="213"/>
      <c r="F25" s="213"/>
      <c r="G25" s="213"/>
      <c r="H25" s="213"/>
      <c r="I25" s="213"/>
      <c r="J25" s="213"/>
      <c r="K25" s="213"/>
    </row>
    <row r="26" spans="1:11" ht="44.25" x14ac:dyDescent="0.75">
      <c r="B26" s="71" t="s">
        <v>109</v>
      </c>
      <c r="C26" s="115" t="s">
        <v>5</v>
      </c>
      <c r="D26" s="131" t="s">
        <v>35</v>
      </c>
      <c r="E26" s="115" t="s">
        <v>216</v>
      </c>
      <c r="F26" s="115" t="s">
        <v>217</v>
      </c>
      <c r="G26" s="115" t="s">
        <v>218</v>
      </c>
      <c r="H26" s="115" t="s">
        <v>211</v>
      </c>
      <c r="I26" s="115" t="s">
        <v>211</v>
      </c>
      <c r="J26" s="115" t="s">
        <v>111</v>
      </c>
      <c r="K26" s="115" t="s">
        <v>112</v>
      </c>
    </row>
    <row r="27" spans="1:11" x14ac:dyDescent="0.75">
      <c r="B27" s="78" t="s">
        <v>12</v>
      </c>
      <c r="C27" s="79">
        <f>+EE!B48</f>
        <v>25</v>
      </c>
      <c r="D27" s="79">
        <v>826</v>
      </c>
      <c r="E27" s="80">
        <f>+D27*0.0026</f>
        <v>2.1475999999999997</v>
      </c>
      <c r="F27" s="80">
        <f>+E27*6</f>
        <v>12.885599999999998</v>
      </c>
      <c r="G27" s="80">
        <f>+F27*365</f>
        <v>4703.2439999999997</v>
      </c>
      <c r="H27" s="80">
        <f>+G27*1.5</f>
        <v>7054.866</v>
      </c>
      <c r="I27" s="80">
        <f>+H27-G27</f>
        <v>2351.6220000000003</v>
      </c>
      <c r="J27" s="80">
        <f>+I27*1.103</f>
        <v>2593.8390660000005</v>
      </c>
      <c r="K27" s="80">
        <f>+J27*40</f>
        <v>103753.56264000002</v>
      </c>
    </row>
    <row r="28" spans="1:11" hidden="1" x14ac:dyDescent="0.75">
      <c r="B28" s="81" t="s">
        <v>219</v>
      </c>
      <c r="C28" s="82" t="e">
        <f>+EE!#REF!</f>
        <v>#REF!</v>
      </c>
      <c r="D28" s="79">
        <v>2200</v>
      </c>
      <c r="E28" s="80">
        <f t="shared" ref="E28:G28" si="3">+D28*E$25</f>
        <v>0</v>
      </c>
      <c r="F28" s="80">
        <f t="shared" si="3"/>
        <v>0</v>
      </c>
      <c r="G28" s="80">
        <f t="shared" si="3"/>
        <v>0</v>
      </c>
      <c r="H28" s="80">
        <f t="shared" ref="H28" si="4">+G28*H$25</f>
        <v>0</v>
      </c>
      <c r="I28" s="80">
        <f t="shared" ref="I28:I29" si="5">+H28-G28</f>
        <v>0</v>
      </c>
      <c r="J28" s="80">
        <f t="shared" ref="J28" si="6">+I28*J$25</f>
        <v>0</v>
      </c>
      <c r="K28" s="80">
        <f>+J28*K$25</f>
        <v>0</v>
      </c>
    </row>
    <row r="29" spans="1:11" x14ac:dyDescent="0.75">
      <c r="B29" s="81" t="s">
        <v>220</v>
      </c>
      <c r="C29" s="83">
        <f>+EE!B49</f>
        <v>110.21052631578948</v>
      </c>
      <c r="D29" s="84">
        <v>4188</v>
      </c>
      <c r="E29" s="80">
        <f>+D29*0.0026</f>
        <v>10.8888</v>
      </c>
      <c r="F29" s="80">
        <f>+E29*6</f>
        <v>65.332799999999992</v>
      </c>
      <c r="G29" s="80">
        <f>+F29*365</f>
        <v>23846.471999999998</v>
      </c>
      <c r="H29" s="80">
        <f>+G29*1.5</f>
        <v>35769.707999999999</v>
      </c>
      <c r="I29" s="80">
        <f t="shared" si="5"/>
        <v>11923.236000000001</v>
      </c>
      <c r="J29" s="80">
        <f>+I29*1.103</f>
        <v>13151.329308</v>
      </c>
      <c r="K29" s="80">
        <f>+J29*40</f>
        <v>526053.17232000001</v>
      </c>
    </row>
    <row r="30" spans="1:11" x14ac:dyDescent="0.75">
      <c r="B30" s="70" t="s">
        <v>30</v>
      </c>
      <c r="C30" s="96">
        <f>+C27+C29</f>
        <v>135.21052631578948</v>
      </c>
      <c r="D30" s="96">
        <f t="shared" ref="D30:G30" si="7">+D27+D29</f>
        <v>5014</v>
      </c>
      <c r="E30" s="96">
        <f>+E27+E29</f>
        <v>13.0364</v>
      </c>
      <c r="F30" s="96">
        <f>+F27+F29</f>
        <v>78.218399999999988</v>
      </c>
      <c r="G30" s="171">
        <f t="shared" si="7"/>
        <v>28549.715999999997</v>
      </c>
      <c r="H30" s="171">
        <f>+H27+H29</f>
        <v>42824.574000000001</v>
      </c>
      <c r="I30" s="171">
        <f>+I27+I29</f>
        <v>14274.858</v>
      </c>
      <c r="J30" s="171">
        <f>+J27+J29</f>
        <v>15745.168374000001</v>
      </c>
      <c r="K30" s="171">
        <f>+J30*40</f>
        <v>629806.73496000003</v>
      </c>
    </row>
    <row r="33" spans="2:10" x14ac:dyDescent="0.75">
      <c r="B33" t="s">
        <v>221</v>
      </c>
    </row>
    <row r="41" spans="2:10" x14ac:dyDescent="0.75">
      <c r="J41">
        <f>15603/1.103</f>
        <v>14145.96554850408</v>
      </c>
    </row>
  </sheetData>
  <mergeCells count="10">
    <mergeCell ref="B25:K25"/>
    <mergeCell ref="G15:G16"/>
    <mergeCell ref="F15:F16"/>
    <mergeCell ref="D3:E3"/>
    <mergeCell ref="A2:F2"/>
    <mergeCell ref="B14:G14"/>
    <mergeCell ref="A12:D12"/>
    <mergeCell ref="E15:E16"/>
    <mergeCell ref="C15:D16"/>
    <mergeCell ref="B15:B16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848A7-289D-4FC2-A706-D010F6DF1A88}">
  <dimension ref="A1:E9"/>
  <sheetViews>
    <sheetView zoomScale="115" zoomScaleNormal="115" workbookViewId="0">
      <selection activeCell="E13" sqref="E13"/>
    </sheetView>
  </sheetViews>
  <sheetFormatPr defaultRowHeight="14.75" x14ac:dyDescent="0.75"/>
  <cols>
    <col min="1" max="1" width="21.86328125" customWidth="1"/>
    <col min="2" max="2" width="9.26953125" customWidth="1"/>
    <col min="3" max="3" width="10.26953125" customWidth="1"/>
    <col min="4" max="4" width="13.86328125" bestFit="1" customWidth="1"/>
    <col min="5" max="5" width="19.1328125" customWidth="1"/>
  </cols>
  <sheetData>
    <row r="1" spans="1:5" ht="21" customHeight="1" x14ac:dyDescent="0.75"/>
    <row r="2" spans="1:5" x14ac:dyDescent="0.75">
      <c r="A2" s="252" t="s">
        <v>222</v>
      </c>
      <c r="B2" s="234"/>
      <c r="C2" s="234"/>
      <c r="D2" s="234"/>
      <c r="E2" s="234"/>
    </row>
    <row r="3" spans="1:5" ht="27" x14ac:dyDescent="0.75">
      <c r="A3" s="144" t="s">
        <v>223</v>
      </c>
      <c r="B3" s="145" t="s">
        <v>35</v>
      </c>
      <c r="C3" s="145" t="s">
        <v>5</v>
      </c>
      <c r="D3" s="184">
        <v>311.39999999999998</v>
      </c>
      <c r="E3" s="146" t="s">
        <v>224</v>
      </c>
    </row>
    <row r="4" spans="1:5" x14ac:dyDescent="0.75">
      <c r="A4" s="104" t="s">
        <v>225</v>
      </c>
      <c r="B4" s="80">
        <v>826</v>
      </c>
      <c r="C4" s="80">
        <f>+EE!B48</f>
        <v>25</v>
      </c>
      <c r="D4" s="80">
        <f>+C4*D3</f>
        <v>7784.9999999999991</v>
      </c>
      <c r="E4" s="107" t="s">
        <v>226</v>
      </c>
    </row>
    <row r="5" spans="1:5" x14ac:dyDescent="0.75">
      <c r="A5" s="104" t="s">
        <v>20</v>
      </c>
      <c r="B5" s="80">
        <v>4188</v>
      </c>
      <c r="C5" s="80">
        <f>+EE!B49</f>
        <v>110.21052631578948</v>
      </c>
      <c r="D5" s="80">
        <f>+C5*D3</f>
        <v>34319.557894736841</v>
      </c>
      <c r="E5" s="107" t="s">
        <v>227</v>
      </c>
    </row>
    <row r="6" spans="1:5" x14ac:dyDescent="0.75">
      <c r="A6" s="249" t="s">
        <v>30</v>
      </c>
      <c r="B6" s="250">
        <f>+B4+B5</f>
        <v>5014</v>
      </c>
      <c r="C6" s="250">
        <f>+C4+C5</f>
        <v>135.21052631578948</v>
      </c>
      <c r="D6" s="105">
        <f>+D4+D5</f>
        <v>42104.557894736841</v>
      </c>
      <c r="E6" s="108" t="s">
        <v>228</v>
      </c>
    </row>
    <row r="7" spans="1:5" x14ac:dyDescent="0.75">
      <c r="A7" s="249"/>
      <c r="B7" s="251"/>
      <c r="C7" s="251"/>
      <c r="D7" s="106">
        <f>+D6*40</f>
        <v>1684182.3157894737</v>
      </c>
      <c r="E7" s="108" t="s">
        <v>229</v>
      </c>
    </row>
    <row r="9" spans="1:5" x14ac:dyDescent="0.75">
      <c r="D9" s="6"/>
    </row>
  </sheetData>
  <mergeCells count="4">
    <mergeCell ref="A6:A7"/>
    <mergeCell ref="C6:C7"/>
    <mergeCell ref="B6:B7"/>
    <mergeCell ref="A2:E2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56BC2-2651-4689-96FC-294821A20676}">
  <dimension ref="A2:N22"/>
  <sheetViews>
    <sheetView zoomScale="124" zoomScaleNormal="124" workbookViewId="0">
      <selection activeCell="G15" sqref="G15"/>
    </sheetView>
  </sheetViews>
  <sheetFormatPr defaultRowHeight="14.75" x14ac:dyDescent="0.75"/>
  <cols>
    <col min="1" max="1" width="15.26953125" customWidth="1"/>
    <col min="2" max="2" width="9" customWidth="1"/>
    <col min="3" max="3" width="14.40625" customWidth="1"/>
    <col min="4" max="4" width="13.1328125" customWidth="1"/>
    <col min="5" max="5" width="11.54296875" bestFit="1" customWidth="1"/>
    <col min="6" max="6" width="14.40625" customWidth="1"/>
    <col min="7" max="7" width="15.54296875" customWidth="1"/>
    <col min="8" max="8" width="12.86328125" customWidth="1"/>
    <col min="9" max="9" width="11.86328125" customWidth="1"/>
    <col min="10" max="10" width="10.86328125" customWidth="1"/>
    <col min="11" max="11" width="10.26953125" bestFit="1" customWidth="1"/>
    <col min="12" max="12" width="11.26953125" bestFit="1" customWidth="1"/>
    <col min="13" max="13" width="12" customWidth="1"/>
    <col min="14" max="14" width="12.54296875" customWidth="1"/>
  </cols>
  <sheetData>
    <row r="2" spans="1:14" x14ac:dyDescent="0.75">
      <c r="A2" s="259" t="s">
        <v>230</v>
      </c>
      <c r="B2" s="259"/>
      <c r="C2" s="259"/>
      <c r="D2" s="259"/>
      <c r="E2" s="259"/>
      <c r="F2" s="259"/>
      <c r="G2" s="259"/>
    </row>
    <row r="3" spans="1:14" x14ac:dyDescent="0.75">
      <c r="A3" s="256" t="s">
        <v>231</v>
      </c>
      <c r="B3" s="256"/>
      <c r="C3" s="257" t="s">
        <v>232</v>
      </c>
      <c r="D3" s="153" t="s">
        <v>233</v>
      </c>
      <c r="E3" s="153" t="s">
        <v>234</v>
      </c>
      <c r="F3" s="154" t="s">
        <v>30</v>
      </c>
      <c r="G3" s="257" t="s">
        <v>235</v>
      </c>
    </row>
    <row r="4" spans="1:14" x14ac:dyDescent="0.75">
      <c r="A4" s="256"/>
      <c r="B4" s="256"/>
      <c r="C4" s="258"/>
      <c r="D4" s="153" t="s">
        <v>236</v>
      </c>
      <c r="E4" s="154" t="s">
        <v>237</v>
      </c>
      <c r="F4" s="154" t="s">
        <v>238</v>
      </c>
      <c r="G4" s="258"/>
    </row>
    <row r="5" spans="1:14" x14ac:dyDescent="0.75">
      <c r="A5" s="262" t="s">
        <v>239</v>
      </c>
      <c r="B5" s="263"/>
      <c r="C5" s="12"/>
      <c r="D5" s="147">
        <v>826</v>
      </c>
      <c r="E5" s="11">
        <v>4188</v>
      </c>
      <c r="F5" s="148">
        <f t="shared" ref="F5:F11" si="0">+D5+E5</f>
        <v>5014</v>
      </c>
      <c r="G5" s="165" t="s">
        <v>239</v>
      </c>
    </row>
    <row r="6" spans="1:14" x14ac:dyDescent="0.75">
      <c r="A6" s="260" t="s">
        <v>240</v>
      </c>
      <c r="B6" s="261"/>
      <c r="C6" s="5">
        <v>17261</v>
      </c>
      <c r="D6" s="189">
        <f>+PV!G21</f>
        <v>1328.0119999999999</v>
      </c>
      <c r="E6" s="190">
        <v>1968</v>
      </c>
      <c r="F6" s="185">
        <f t="shared" si="0"/>
        <v>3296.0119999999997</v>
      </c>
      <c r="G6" s="156" t="s">
        <v>241</v>
      </c>
    </row>
    <row r="7" spans="1:14" x14ac:dyDescent="0.75">
      <c r="A7" s="260" t="s">
        <v>242</v>
      </c>
      <c r="B7" s="261"/>
      <c r="C7" s="5">
        <v>187149</v>
      </c>
      <c r="D7" s="189">
        <f>+EE!H48</f>
        <v>13398.225880000002</v>
      </c>
      <c r="E7" s="189">
        <f>+EE!H49</f>
        <v>67931.924921840211</v>
      </c>
      <c r="F7" s="191">
        <f t="shared" si="0"/>
        <v>81330.150801840209</v>
      </c>
      <c r="G7" s="156" t="s">
        <v>241</v>
      </c>
    </row>
    <row r="8" spans="1:14" x14ac:dyDescent="0.75">
      <c r="A8" s="260" t="s">
        <v>243</v>
      </c>
      <c r="B8" s="261"/>
      <c r="C8" s="157" t="s">
        <v>244</v>
      </c>
      <c r="D8" s="158">
        <f>+Embodied!D4</f>
        <v>7784.9999999999991</v>
      </c>
      <c r="E8" s="158">
        <f>+Embodied!D5</f>
        <v>34319.557894736841</v>
      </c>
      <c r="F8" s="159">
        <f t="shared" si="0"/>
        <v>42104.557894736841</v>
      </c>
      <c r="G8" s="160" t="s">
        <v>241</v>
      </c>
    </row>
    <row r="9" spans="1:14" x14ac:dyDescent="0.75">
      <c r="A9" s="260" t="s">
        <v>245</v>
      </c>
      <c r="B9" s="261"/>
      <c r="C9" s="157" t="s">
        <v>244</v>
      </c>
      <c r="D9" s="158">
        <f>+LED!J27</f>
        <v>2593.8390660000005</v>
      </c>
      <c r="E9" s="158">
        <f>+LED!J29</f>
        <v>13151.329308</v>
      </c>
      <c r="F9" s="159">
        <f t="shared" si="0"/>
        <v>15745.168374000001</v>
      </c>
      <c r="G9" s="160" t="s">
        <v>241</v>
      </c>
    </row>
    <row r="10" spans="1:14" x14ac:dyDescent="0.75">
      <c r="A10" s="260" t="s">
        <v>246</v>
      </c>
      <c r="B10" s="261"/>
      <c r="C10" s="157" t="s">
        <v>244</v>
      </c>
      <c r="D10" s="161">
        <f>+Water!E37</f>
        <v>44.434546519999998</v>
      </c>
      <c r="E10" s="161">
        <f>+Water!E38</f>
        <v>225.29283392949154</v>
      </c>
      <c r="F10" s="159">
        <f t="shared" si="0"/>
        <v>269.72738044949153</v>
      </c>
      <c r="G10" s="160" t="s">
        <v>241</v>
      </c>
    </row>
    <row r="11" spans="1:14" x14ac:dyDescent="0.75">
      <c r="A11" s="255" t="s">
        <v>247</v>
      </c>
      <c r="B11" s="255"/>
      <c r="C11" s="149">
        <f>SUM(C6:C10)</f>
        <v>204410</v>
      </c>
      <c r="D11" s="149">
        <f>SUM(D6:D10)</f>
        <v>25149.51149252</v>
      </c>
      <c r="E11" s="149">
        <f>SUM(E6:E10)</f>
        <v>117596.10495850653</v>
      </c>
      <c r="F11" s="150">
        <f t="shared" si="0"/>
        <v>142745.61645102652</v>
      </c>
      <c r="G11" s="155" t="s">
        <v>241</v>
      </c>
    </row>
    <row r="12" spans="1:14" ht="11.25" customHeight="1" x14ac:dyDescent="0.75"/>
    <row r="13" spans="1:14" ht="11.25" customHeight="1" x14ac:dyDescent="0.75"/>
    <row r="14" spans="1:14" x14ac:dyDescent="0.75">
      <c r="A14" s="259" t="s">
        <v>248</v>
      </c>
      <c r="B14" s="259"/>
      <c r="C14" s="259"/>
      <c r="D14" s="259"/>
      <c r="E14" s="259"/>
      <c r="F14" s="259"/>
      <c r="G14" s="259"/>
      <c r="K14" s="4"/>
      <c r="L14" s="4"/>
      <c r="M14" s="162"/>
      <c r="N14" s="163"/>
    </row>
    <row r="15" spans="1:14" ht="29.5" x14ac:dyDescent="0.75">
      <c r="A15" s="166" t="s">
        <v>231</v>
      </c>
      <c r="B15" s="167" t="s">
        <v>249</v>
      </c>
      <c r="C15" s="166" t="s">
        <v>250</v>
      </c>
      <c r="D15" s="166" t="s">
        <v>233</v>
      </c>
      <c r="E15" s="166" t="s">
        <v>234</v>
      </c>
      <c r="F15" s="166" t="s">
        <v>186</v>
      </c>
      <c r="G15" s="166" t="s">
        <v>235</v>
      </c>
      <c r="K15" s="4"/>
      <c r="L15" s="4"/>
      <c r="M15" s="162"/>
      <c r="N15" s="163"/>
    </row>
    <row r="16" spans="1:14" x14ac:dyDescent="0.75">
      <c r="A16" s="151" t="s">
        <v>240</v>
      </c>
      <c r="B16" s="152">
        <v>25</v>
      </c>
      <c r="C16" s="168">
        <f>+$B16*C6</f>
        <v>431525</v>
      </c>
      <c r="D16" s="168">
        <f>+$B16*D6</f>
        <v>33200.299999999996</v>
      </c>
      <c r="E16" s="168">
        <f>+E6</f>
        <v>1968</v>
      </c>
      <c r="F16" s="168">
        <f>+F6*25</f>
        <v>82400.299999999988</v>
      </c>
      <c r="G16" s="168" t="s">
        <v>251</v>
      </c>
      <c r="J16" s="4"/>
      <c r="K16" s="4"/>
      <c r="L16" s="4"/>
      <c r="M16" s="4"/>
    </row>
    <row r="17" spans="1:13" x14ac:dyDescent="0.75">
      <c r="A17" s="151" t="s">
        <v>242</v>
      </c>
      <c r="B17" s="152">
        <v>40</v>
      </c>
      <c r="C17" s="168">
        <f>+$B17*C7</f>
        <v>7485960</v>
      </c>
      <c r="D17" s="168">
        <f>+$B17*D7</f>
        <v>535929.03520000004</v>
      </c>
      <c r="E17" s="168">
        <f>+$B17*E7</f>
        <v>2717276.9968736083</v>
      </c>
      <c r="F17" s="168">
        <f>+D17+E17</f>
        <v>3253206.0320736086</v>
      </c>
      <c r="G17" s="168" t="s">
        <v>252</v>
      </c>
      <c r="J17" s="76"/>
      <c r="M17" s="164"/>
    </row>
    <row r="18" spans="1:13" x14ac:dyDescent="0.75">
      <c r="A18" s="151" t="s">
        <v>243</v>
      </c>
      <c r="B18" s="152">
        <v>1</v>
      </c>
      <c r="C18" s="169" t="s">
        <v>104</v>
      </c>
      <c r="D18" s="168">
        <f>+$B18*D8</f>
        <v>7784.9999999999991</v>
      </c>
      <c r="E18" s="168">
        <f>+$B18*E8</f>
        <v>34319.557894736841</v>
      </c>
      <c r="F18" s="168">
        <f>+D18+E18</f>
        <v>42104.557894736841</v>
      </c>
      <c r="G18" s="168" t="s">
        <v>253</v>
      </c>
    </row>
    <row r="19" spans="1:13" x14ac:dyDescent="0.75">
      <c r="A19" s="151" t="s">
        <v>245</v>
      </c>
      <c r="B19" s="152">
        <v>40</v>
      </c>
      <c r="C19" s="169" t="s">
        <v>104</v>
      </c>
      <c r="D19" s="168">
        <f>+$B19*D9</f>
        <v>103753.56264000002</v>
      </c>
      <c r="E19" s="168">
        <f>+$B19*E9</f>
        <v>526053.17232000001</v>
      </c>
      <c r="F19" s="168">
        <f>+D19+E19</f>
        <v>629806.73496000003</v>
      </c>
      <c r="G19" s="168" t="s">
        <v>252</v>
      </c>
    </row>
    <row r="20" spans="1:13" x14ac:dyDescent="0.75">
      <c r="A20" s="151" t="s">
        <v>246</v>
      </c>
      <c r="B20" s="152">
        <v>40</v>
      </c>
      <c r="C20" s="169" t="s">
        <v>104</v>
      </c>
      <c r="D20" s="168">
        <f>+$B20*D10</f>
        <v>1777.3818607999999</v>
      </c>
      <c r="E20" s="168">
        <f>+$B20*E10</f>
        <v>9011.7133571796621</v>
      </c>
      <c r="F20" s="168">
        <f>+D20+E20</f>
        <v>10789.095217979662</v>
      </c>
      <c r="G20" s="168" t="s">
        <v>252</v>
      </c>
    </row>
    <row r="21" spans="1:13" x14ac:dyDescent="0.75">
      <c r="A21" s="253" t="s">
        <v>247</v>
      </c>
      <c r="B21" s="254"/>
      <c r="C21" s="170">
        <f>SUM(C16:C17)</f>
        <v>7917485</v>
      </c>
      <c r="D21" s="170">
        <f>SUM(D16:D17)</f>
        <v>569129.33520000009</v>
      </c>
      <c r="E21" s="170">
        <f>SUM(E16:E17)</f>
        <v>2719244.9968736083</v>
      </c>
      <c r="F21" s="170">
        <f>SUM(F16:F20)</f>
        <v>4018306.720146325</v>
      </c>
      <c r="G21" s="170" t="s">
        <v>252</v>
      </c>
    </row>
    <row r="22" spans="1:13" ht="13.5" customHeight="1" x14ac:dyDescent="0.75"/>
  </sheetData>
  <mergeCells count="13">
    <mergeCell ref="A2:G2"/>
    <mergeCell ref="G3:G4"/>
    <mergeCell ref="A5:B5"/>
    <mergeCell ref="A6:B6"/>
    <mergeCell ref="A7:B7"/>
    <mergeCell ref="A21:B21"/>
    <mergeCell ref="A11:B11"/>
    <mergeCell ref="A3:B4"/>
    <mergeCell ref="C3:C4"/>
    <mergeCell ref="A14:G14"/>
    <mergeCell ref="A8:B8"/>
    <mergeCell ref="A9:B9"/>
    <mergeCell ref="A10:B10"/>
  </mergeCells>
  <phoneticPr fontId="2" type="noConversion"/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0F6B5-93A0-4923-8CEB-B33287E8F2C0}">
  <dimension ref="A1:K39"/>
  <sheetViews>
    <sheetView topLeftCell="A40" zoomScale="86" zoomScaleNormal="100" workbookViewId="0">
      <selection activeCell="Q68" sqref="Q68"/>
    </sheetView>
  </sheetViews>
  <sheetFormatPr defaultRowHeight="14.75" x14ac:dyDescent="0.75"/>
  <cols>
    <col min="1" max="1" width="20.1328125" customWidth="1"/>
    <col min="2" max="2" width="12.40625" customWidth="1"/>
    <col min="3" max="7" width="14.54296875" customWidth="1"/>
    <col min="8" max="8" width="13.54296875" customWidth="1"/>
    <col min="9" max="9" width="15.7265625" customWidth="1"/>
    <col min="10" max="10" width="15.86328125" customWidth="1"/>
    <col min="11" max="11" width="15.1328125" customWidth="1"/>
    <col min="12" max="12" width="10.54296875" bestFit="1" customWidth="1"/>
    <col min="13" max="13" width="11.54296875" bestFit="1" customWidth="1"/>
    <col min="14" max="14" width="14.40625" customWidth="1"/>
    <col min="16" max="16" width="13.26953125" customWidth="1"/>
  </cols>
  <sheetData>
    <row r="1" spans="1:11" hidden="1" x14ac:dyDescent="0.75"/>
    <row r="2" spans="1:11" ht="18.5" hidden="1" x14ac:dyDescent="0.9">
      <c r="A2" s="8" t="s">
        <v>254</v>
      </c>
    </row>
    <row r="3" spans="1:11" ht="12" hidden="1" customHeight="1" x14ac:dyDescent="0.75">
      <c r="C3" s="32" t="s">
        <v>255</v>
      </c>
      <c r="D3" s="32"/>
      <c r="E3" s="32"/>
      <c r="F3">
        <v>38</v>
      </c>
      <c r="G3">
        <v>0.67</v>
      </c>
      <c r="H3">
        <v>2.69</v>
      </c>
      <c r="I3">
        <v>2.69</v>
      </c>
    </row>
    <row r="4" spans="1:11" hidden="1" x14ac:dyDescent="0.75">
      <c r="A4" s="210" t="s">
        <v>4</v>
      </c>
      <c r="B4" s="210" t="s">
        <v>5</v>
      </c>
      <c r="C4" s="210" t="s">
        <v>6</v>
      </c>
      <c r="D4" s="39"/>
      <c r="E4" s="39">
        <v>0.7</v>
      </c>
      <c r="F4" s="215" t="s">
        <v>256</v>
      </c>
      <c r="G4" s="215"/>
      <c r="H4" s="215"/>
      <c r="I4" s="215"/>
    </row>
    <row r="5" spans="1:11" hidden="1" x14ac:dyDescent="0.75">
      <c r="A5" s="211"/>
      <c r="B5" s="211"/>
      <c r="C5" s="211"/>
      <c r="D5" s="15" t="s">
        <v>257</v>
      </c>
      <c r="E5" s="15" t="s">
        <v>258</v>
      </c>
      <c r="F5" s="15" t="s">
        <v>8</v>
      </c>
      <c r="G5" s="15" t="s">
        <v>259</v>
      </c>
      <c r="H5" s="15" t="s">
        <v>10</v>
      </c>
      <c r="I5" s="15" t="s">
        <v>11</v>
      </c>
    </row>
    <row r="6" spans="1:11" hidden="1" x14ac:dyDescent="0.75">
      <c r="A6" s="264" t="s">
        <v>12</v>
      </c>
      <c r="B6" s="265"/>
      <c r="C6" s="265"/>
      <c r="D6" s="265"/>
      <c r="E6" s="265"/>
      <c r="F6" s="265"/>
      <c r="G6" s="265"/>
      <c r="H6" s="266"/>
      <c r="I6" s="1"/>
    </row>
    <row r="7" spans="1:11" hidden="1" x14ac:dyDescent="0.75">
      <c r="A7" s="65" t="s">
        <v>13</v>
      </c>
      <c r="B7" s="9">
        <v>4</v>
      </c>
      <c r="C7" s="9">
        <v>110</v>
      </c>
      <c r="D7" s="9"/>
      <c r="E7" s="9">
        <f>43+42+27+42+42+20</f>
        <v>216</v>
      </c>
      <c r="F7" s="16">
        <v>240</v>
      </c>
      <c r="G7" s="16">
        <f>+F7*G$3</f>
        <v>160.80000000000001</v>
      </c>
      <c r="H7" s="28">
        <v>22</v>
      </c>
      <c r="I7" s="28">
        <f>+F7*I$3</f>
        <v>645.6</v>
      </c>
      <c r="K7">
        <v>216</v>
      </c>
    </row>
    <row r="8" spans="1:11" hidden="1" x14ac:dyDescent="0.75">
      <c r="A8" s="65" t="s">
        <v>14</v>
      </c>
      <c r="B8" s="9">
        <v>4</v>
      </c>
      <c r="C8" s="9">
        <v>150</v>
      </c>
      <c r="D8" s="9"/>
      <c r="E8" s="9"/>
      <c r="F8" s="16">
        <v>232</v>
      </c>
      <c r="G8" s="16">
        <f t="shared" ref="G8:G12" si="0">+F8*G$3</f>
        <v>155.44</v>
      </c>
      <c r="H8" s="28">
        <v>22</v>
      </c>
      <c r="I8" s="28">
        <f t="shared" ref="I8:I12" si="1">+F8*I$3</f>
        <v>624.08000000000004</v>
      </c>
      <c r="J8">
        <v>0.7</v>
      </c>
      <c r="K8">
        <f>+J8*K7</f>
        <v>151.19999999999999</v>
      </c>
    </row>
    <row r="9" spans="1:11" hidden="1" x14ac:dyDescent="0.75">
      <c r="A9" s="65" t="s">
        <v>15</v>
      </c>
      <c r="B9" s="9">
        <v>2</v>
      </c>
      <c r="C9" s="9">
        <v>76</v>
      </c>
      <c r="D9" s="9"/>
      <c r="E9" s="9"/>
      <c r="F9" s="16">
        <v>116</v>
      </c>
      <c r="G9" s="16">
        <f t="shared" si="0"/>
        <v>77.72</v>
      </c>
      <c r="H9" s="28">
        <v>22</v>
      </c>
      <c r="I9" s="28">
        <f t="shared" si="1"/>
        <v>312.04000000000002</v>
      </c>
      <c r="J9">
        <v>0.67</v>
      </c>
      <c r="K9">
        <f>+J9*K7</f>
        <v>144.72</v>
      </c>
    </row>
    <row r="10" spans="1:11" hidden="1" x14ac:dyDescent="0.75">
      <c r="A10" s="65" t="s">
        <v>16</v>
      </c>
      <c r="B10" s="9">
        <v>4</v>
      </c>
      <c r="C10" s="9">
        <v>110</v>
      </c>
      <c r="D10" s="9"/>
      <c r="E10" s="9"/>
      <c r="F10" s="16">
        <v>258</v>
      </c>
      <c r="G10" s="16">
        <f t="shared" si="0"/>
        <v>172.86</v>
      </c>
      <c r="H10" s="28">
        <v>22</v>
      </c>
      <c r="I10" s="28">
        <f t="shared" si="1"/>
        <v>694.02</v>
      </c>
    </row>
    <row r="11" spans="1:11" hidden="1" x14ac:dyDescent="0.75">
      <c r="A11" s="65" t="s">
        <v>17</v>
      </c>
      <c r="B11" s="9">
        <v>6</v>
      </c>
      <c r="C11" s="9">
        <v>228</v>
      </c>
      <c r="D11" s="9"/>
      <c r="E11" s="9"/>
      <c r="F11" s="16">
        <v>348</v>
      </c>
      <c r="G11" s="16">
        <f t="shared" si="0"/>
        <v>233.16000000000003</v>
      </c>
      <c r="H11" s="28">
        <v>22</v>
      </c>
      <c r="I11" s="28">
        <f t="shared" si="1"/>
        <v>936.12</v>
      </c>
    </row>
    <row r="12" spans="1:11" hidden="1" x14ac:dyDescent="0.75">
      <c r="A12" s="65" t="s">
        <v>260</v>
      </c>
      <c r="B12" s="9">
        <v>5</v>
      </c>
      <c r="C12" s="9">
        <v>126</v>
      </c>
      <c r="D12" s="9"/>
      <c r="E12" s="9"/>
      <c r="F12" s="16">
        <v>232</v>
      </c>
      <c r="G12" s="16">
        <f t="shared" si="0"/>
        <v>155.44</v>
      </c>
      <c r="H12" s="28">
        <v>22</v>
      </c>
      <c r="I12" s="28">
        <f t="shared" si="1"/>
        <v>624.08000000000004</v>
      </c>
    </row>
    <row r="13" spans="1:11" hidden="1" x14ac:dyDescent="0.75">
      <c r="A13" s="66" t="s">
        <v>19</v>
      </c>
      <c r="B13" s="10">
        <v>25</v>
      </c>
      <c r="C13" s="10">
        <v>800</v>
      </c>
      <c r="D13" s="10"/>
      <c r="E13" s="10"/>
      <c r="F13" s="17">
        <f>SUM(F7:F12)</f>
        <v>1426</v>
      </c>
      <c r="G13" s="17">
        <f>SUM(G7:G12)</f>
        <v>955.42000000000007</v>
      </c>
      <c r="H13" s="41">
        <v>22</v>
      </c>
      <c r="I13" s="41">
        <f>SUM(I7:I12)</f>
        <v>3835.9399999999996</v>
      </c>
    </row>
    <row r="14" spans="1:11" hidden="1" x14ac:dyDescent="0.75">
      <c r="A14" s="264" t="s">
        <v>20</v>
      </c>
      <c r="B14" s="265"/>
      <c r="C14" s="265"/>
      <c r="D14" s="265"/>
      <c r="E14" s="265"/>
      <c r="F14" s="265"/>
      <c r="G14" s="265"/>
      <c r="H14" s="266"/>
      <c r="I14" s="45"/>
    </row>
    <row r="15" spans="1:11" hidden="1" x14ac:dyDescent="0.75">
      <c r="A15" s="65" t="s">
        <v>21</v>
      </c>
      <c r="B15" s="46">
        <f>+C15/38</f>
        <v>57.89473684210526</v>
      </c>
      <c r="C15" s="18">
        <v>2200</v>
      </c>
      <c r="D15" s="18"/>
      <c r="E15" s="18"/>
      <c r="F15" s="40">
        <f>+B15*F3</f>
        <v>2200</v>
      </c>
      <c r="G15" s="16">
        <f>+F15*G$3</f>
        <v>1474</v>
      </c>
      <c r="H15" s="28">
        <v>22</v>
      </c>
      <c r="I15" s="28">
        <f t="shared" ref="I15" si="2">+F15*I$3</f>
        <v>5918</v>
      </c>
    </row>
    <row r="16" spans="1:11" ht="29.5" hidden="1" x14ac:dyDescent="0.75">
      <c r="A16" s="60" t="s">
        <v>22</v>
      </c>
      <c r="B16" s="61">
        <f>+B13+B15</f>
        <v>82.89473684210526</v>
      </c>
      <c r="C16" s="62">
        <f>+C13+C15</f>
        <v>3000</v>
      </c>
      <c r="D16" s="62"/>
      <c r="E16" s="62"/>
      <c r="F16" s="63">
        <f>+F13+F15</f>
        <v>3626</v>
      </c>
      <c r="G16" s="63">
        <f>+G13+G15</f>
        <v>2429.42</v>
      </c>
      <c r="H16" s="64">
        <f>+(H13+H15)/2</f>
        <v>22</v>
      </c>
      <c r="I16" s="64">
        <f>+I13+I15</f>
        <v>9753.9399999999987</v>
      </c>
    </row>
    <row r="17" spans="1:10" hidden="1" x14ac:dyDescent="0.75"/>
    <row r="18" spans="1:10" hidden="1" x14ac:dyDescent="0.75"/>
    <row r="19" spans="1:10" ht="10.5" hidden="1" customHeight="1" x14ac:dyDescent="0.75">
      <c r="G19" t="s">
        <v>261</v>
      </c>
      <c r="H19">
        <v>1.103</v>
      </c>
      <c r="I19">
        <v>25</v>
      </c>
    </row>
    <row r="20" spans="1:10" ht="16" hidden="1" x14ac:dyDescent="0.75">
      <c r="A20" s="19"/>
      <c r="B20" s="20"/>
      <c r="C20" s="15" t="s">
        <v>8</v>
      </c>
      <c r="D20" s="15"/>
      <c r="E20" s="15"/>
      <c r="F20" s="15" t="s">
        <v>259</v>
      </c>
      <c r="G20" s="20" t="s">
        <v>262</v>
      </c>
      <c r="H20" s="20" t="s">
        <v>263</v>
      </c>
      <c r="I20" s="21" t="s">
        <v>264</v>
      </c>
    </row>
    <row r="21" spans="1:10" ht="16" hidden="1" x14ac:dyDescent="0.75">
      <c r="A21" s="19" t="s">
        <v>24</v>
      </c>
      <c r="B21" s="20"/>
      <c r="C21" s="20"/>
      <c r="D21" s="20"/>
      <c r="E21" s="20"/>
      <c r="F21" s="20"/>
      <c r="G21" s="20"/>
      <c r="H21" s="20"/>
      <c r="I21" s="22"/>
    </row>
    <row r="22" spans="1:10" hidden="1" x14ac:dyDescent="0.75">
      <c r="A22" s="70" t="s">
        <v>12</v>
      </c>
      <c r="B22" s="1">
        <v>800</v>
      </c>
      <c r="C22" s="7">
        <f>+F13</f>
        <v>1426</v>
      </c>
      <c r="D22" s="7"/>
      <c r="E22" s="7"/>
      <c r="F22" s="7">
        <f>+G13</f>
        <v>955.42000000000007</v>
      </c>
      <c r="G22" s="7">
        <v>1204</v>
      </c>
      <c r="H22" s="7">
        <f>+G22*H$19</f>
        <v>1328.0119999999999</v>
      </c>
      <c r="I22" s="7">
        <f>+H22*I$19</f>
        <v>33200.299999999996</v>
      </c>
      <c r="J22" t="s">
        <v>95</v>
      </c>
    </row>
    <row r="23" spans="1:10" hidden="1" x14ac:dyDescent="0.75">
      <c r="A23" s="70" t="s">
        <v>20</v>
      </c>
      <c r="B23" s="1">
        <v>2200</v>
      </c>
      <c r="C23" s="7">
        <f>+F15</f>
        <v>2200</v>
      </c>
      <c r="D23" s="7"/>
      <c r="E23" s="7"/>
      <c r="F23" s="7">
        <f>+G15</f>
        <v>1474</v>
      </c>
      <c r="G23" s="7">
        <v>1784</v>
      </c>
      <c r="H23" s="7">
        <f>+G23*H$19</f>
        <v>1967.752</v>
      </c>
      <c r="I23" s="7">
        <f>+H23*I$19</f>
        <v>49193.799999999996</v>
      </c>
      <c r="J23" t="s">
        <v>95</v>
      </c>
    </row>
    <row r="24" spans="1:10" ht="16" hidden="1" x14ac:dyDescent="0.8">
      <c r="A24" s="23" t="s">
        <v>30</v>
      </c>
      <c r="B24" s="67">
        <f>SUM(B22:B23)</f>
        <v>3000</v>
      </c>
      <c r="C24" s="68">
        <f>SUM(C22:C23)</f>
        <v>3626</v>
      </c>
      <c r="D24" s="68"/>
      <c r="E24" s="68"/>
      <c r="F24" s="68">
        <f t="shared" ref="F24:G24" si="3">SUM(F22:F23)</f>
        <v>2429.42</v>
      </c>
      <c r="G24" s="68">
        <f t="shared" si="3"/>
        <v>2988</v>
      </c>
      <c r="H24" s="69">
        <f>+G24*H$19</f>
        <v>3295.7640000000001</v>
      </c>
      <c r="I24" s="68">
        <f>SUM(I22:I23)</f>
        <v>82394.099999999991</v>
      </c>
      <c r="J24" t="s">
        <v>95</v>
      </c>
    </row>
    <row r="25" spans="1:10" hidden="1" x14ac:dyDescent="0.75">
      <c r="C25" s="214"/>
      <c r="D25" s="214"/>
      <c r="E25" s="214"/>
      <c r="F25" s="214"/>
      <c r="G25" s="214"/>
    </row>
    <row r="26" spans="1:10" hidden="1" x14ac:dyDescent="0.75">
      <c r="H26" s="6"/>
      <c r="I26" s="6"/>
    </row>
    <row r="27" spans="1:10" hidden="1" x14ac:dyDescent="0.75"/>
    <row r="28" spans="1:10" x14ac:dyDescent="0.75">
      <c r="H28" t="s">
        <v>32</v>
      </c>
    </row>
    <row r="31" spans="1:10" x14ac:dyDescent="0.75">
      <c r="A31" s="4" t="s">
        <v>265</v>
      </c>
      <c r="B31" s="76">
        <v>940312</v>
      </c>
    </row>
    <row r="32" spans="1:10" x14ac:dyDescent="0.75">
      <c r="A32">
        <v>1500</v>
      </c>
      <c r="B32">
        <v>15</v>
      </c>
      <c r="C32" s="3">
        <f>+B31*B32%</f>
        <v>141046.79999999999</v>
      </c>
    </row>
    <row r="33" spans="1:3" x14ac:dyDescent="0.75">
      <c r="A33">
        <v>8500</v>
      </c>
      <c r="B33">
        <v>85</v>
      </c>
      <c r="C33" s="3">
        <f>+B31*B33%</f>
        <v>799265.2</v>
      </c>
    </row>
    <row r="34" spans="1:3" x14ac:dyDescent="0.75">
      <c r="C34" s="75">
        <f>SUM(C32:C33)</f>
        <v>940312</v>
      </c>
    </row>
    <row r="36" spans="1:3" x14ac:dyDescent="0.75">
      <c r="A36" s="4" t="s">
        <v>266</v>
      </c>
      <c r="B36" s="77">
        <v>187149</v>
      </c>
    </row>
    <row r="37" spans="1:3" x14ac:dyDescent="0.75">
      <c r="A37">
        <v>1500</v>
      </c>
      <c r="B37">
        <v>15</v>
      </c>
      <c r="C37" s="3">
        <f>+B36*B37%</f>
        <v>28072.35</v>
      </c>
    </row>
    <row r="38" spans="1:3" x14ac:dyDescent="0.75">
      <c r="A38">
        <v>8500</v>
      </c>
      <c r="B38">
        <v>85</v>
      </c>
      <c r="C38" s="3">
        <f>+B38*B36%</f>
        <v>159076.65</v>
      </c>
    </row>
    <row r="39" spans="1:3" x14ac:dyDescent="0.75">
      <c r="C39" s="75">
        <f>SUM(C37:C38)</f>
        <v>187149</v>
      </c>
    </row>
  </sheetData>
  <mergeCells count="7">
    <mergeCell ref="C25:G25"/>
    <mergeCell ref="A4:A5"/>
    <mergeCell ref="B4:B5"/>
    <mergeCell ref="C4:C5"/>
    <mergeCell ref="F4:I4"/>
    <mergeCell ref="A6:H6"/>
    <mergeCell ref="A14:H1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CB81C-A954-4ECC-A62A-F2B671C76A18}">
  <dimension ref="E3:J16"/>
  <sheetViews>
    <sheetView tabSelected="1" workbookViewId="0">
      <selection activeCell="F23" sqref="F23"/>
    </sheetView>
  </sheetViews>
  <sheetFormatPr defaultRowHeight="14.75" x14ac:dyDescent="0.75"/>
  <cols>
    <col min="5" max="5" width="14.2265625" bestFit="1" customWidth="1"/>
    <col min="6" max="6" width="55.953125" bestFit="1" customWidth="1"/>
    <col min="7" max="9" width="14.6328125" customWidth="1"/>
    <col min="10" max="10" width="106.81640625" bestFit="1" customWidth="1"/>
  </cols>
  <sheetData>
    <row r="3" spans="5:10" ht="15.5" thickBot="1" x14ac:dyDescent="0.9"/>
    <row r="4" spans="5:10" ht="23.75" customHeight="1" x14ac:dyDescent="0.75">
      <c r="E4" s="198" t="s">
        <v>267</v>
      </c>
      <c r="F4" s="280" t="s">
        <v>269</v>
      </c>
      <c r="G4" s="273" t="s">
        <v>286</v>
      </c>
      <c r="H4" s="273" t="s">
        <v>287</v>
      </c>
      <c r="I4" s="273" t="s">
        <v>288</v>
      </c>
      <c r="J4" s="192" t="s">
        <v>270</v>
      </c>
    </row>
    <row r="5" spans="5:10" ht="20.5" customHeight="1" thickBot="1" x14ac:dyDescent="0.9">
      <c r="E5" s="199" t="s">
        <v>268</v>
      </c>
      <c r="F5" s="281"/>
      <c r="G5" s="274"/>
      <c r="H5" s="274"/>
      <c r="I5" s="274"/>
      <c r="J5" s="193" t="s">
        <v>271</v>
      </c>
    </row>
    <row r="6" spans="5:10" ht="5.75" hidden="1" customHeight="1" thickBot="1" x14ac:dyDescent="0.9">
      <c r="E6" s="201"/>
      <c r="F6" s="282"/>
      <c r="G6" s="283"/>
      <c r="H6" s="283"/>
      <c r="I6" s="203"/>
      <c r="J6" s="194" t="s">
        <v>272</v>
      </c>
    </row>
    <row r="7" spans="5:10" x14ac:dyDescent="0.75">
      <c r="E7" s="267" t="s">
        <v>283</v>
      </c>
      <c r="F7" s="267" t="s">
        <v>273</v>
      </c>
      <c r="G7" s="270">
        <v>15580000</v>
      </c>
      <c r="H7" s="270">
        <v>0</v>
      </c>
      <c r="I7" s="270">
        <f>H7-G7</f>
        <v>-15580000</v>
      </c>
      <c r="J7" s="275" t="s">
        <v>274</v>
      </c>
    </row>
    <row r="8" spans="5:10" ht="12.5" customHeight="1" thickBot="1" x14ac:dyDescent="0.9">
      <c r="E8" s="268"/>
      <c r="F8" s="278"/>
      <c r="G8" s="271"/>
      <c r="H8" s="271"/>
      <c r="I8" s="271"/>
      <c r="J8" s="276"/>
    </row>
    <row r="9" spans="5:10" ht="26.75" thickBot="1" x14ac:dyDescent="0.9">
      <c r="E9" s="269"/>
      <c r="F9" s="200" t="s">
        <v>275</v>
      </c>
      <c r="G9" s="205">
        <v>6560000</v>
      </c>
      <c r="H9" s="205">
        <v>9990000</v>
      </c>
      <c r="I9" s="205">
        <f>H9-G9</f>
        <v>3430000</v>
      </c>
      <c r="J9" s="195" t="s">
        <v>276</v>
      </c>
    </row>
    <row r="10" spans="5:10" x14ac:dyDescent="0.75">
      <c r="E10" s="267" t="s">
        <v>284</v>
      </c>
      <c r="F10" s="267" t="s">
        <v>277</v>
      </c>
      <c r="G10" s="270">
        <v>75700000</v>
      </c>
      <c r="H10" s="270">
        <v>91280000</v>
      </c>
      <c r="I10" s="270">
        <f>H10-G10</f>
        <v>15580000</v>
      </c>
      <c r="J10" s="275" t="s">
        <v>278</v>
      </c>
    </row>
    <row r="11" spans="5:10" ht="10.25" customHeight="1" x14ac:dyDescent="0.75">
      <c r="E11" s="268"/>
      <c r="F11" s="277"/>
      <c r="G11" s="272"/>
      <c r="H11" s="272"/>
      <c r="I11" s="272"/>
      <c r="J11" s="279"/>
    </row>
    <row r="12" spans="5:10" ht="2" customHeight="1" thickBot="1" x14ac:dyDescent="0.9">
      <c r="E12" s="268"/>
      <c r="F12" s="278"/>
      <c r="G12" s="271"/>
      <c r="H12" s="271"/>
      <c r="I12" s="204"/>
      <c r="J12" s="276"/>
    </row>
    <row r="13" spans="5:10" x14ac:dyDescent="0.75">
      <c r="E13" s="268"/>
      <c r="F13" s="267" t="s">
        <v>279</v>
      </c>
      <c r="G13" s="270">
        <v>9300000</v>
      </c>
      <c r="H13" s="270">
        <v>1500000</v>
      </c>
      <c r="I13" s="270">
        <f>H13-G13</f>
        <v>-7800000</v>
      </c>
      <c r="J13" s="196" t="s">
        <v>280</v>
      </c>
    </row>
    <row r="14" spans="5:10" ht="11" customHeight="1" thickBot="1" x14ac:dyDescent="0.9">
      <c r="E14" s="268"/>
      <c r="F14" s="278"/>
      <c r="G14" s="271"/>
      <c r="H14" s="271"/>
      <c r="I14" s="271"/>
      <c r="J14" s="197" t="s">
        <v>281</v>
      </c>
    </row>
    <row r="15" spans="5:10" ht="29.75" customHeight="1" thickBot="1" x14ac:dyDescent="0.9">
      <c r="E15" s="269"/>
      <c r="F15" s="200" t="s">
        <v>285</v>
      </c>
      <c r="G15" s="206">
        <v>21000000</v>
      </c>
      <c r="H15" s="206">
        <v>25370000</v>
      </c>
      <c r="I15" s="206">
        <f>H15-G15</f>
        <v>4370000</v>
      </c>
      <c r="J15" s="195" t="s">
        <v>282</v>
      </c>
    </row>
    <row r="16" spans="5:10" ht="15.5" thickBot="1" x14ac:dyDescent="0.9">
      <c r="E16" s="202"/>
      <c r="F16" s="202"/>
      <c r="G16" s="207">
        <f>SUM(G7:G15)</f>
        <v>128140000</v>
      </c>
      <c r="H16" s="208">
        <f>SUM(H7:H15)</f>
        <v>128140000</v>
      </c>
      <c r="I16" s="209">
        <f>SUM(I7:I15)</f>
        <v>0</v>
      </c>
    </row>
  </sheetData>
  <mergeCells count="20">
    <mergeCell ref="I4:I5"/>
    <mergeCell ref="J7:J8"/>
    <mergeCell ref="F10:F12"/>
    <mergeCell ref="G10:G12"/>
    <mergeCell ref="H10:H12"/>
    <mergeCell ref="J10:J12"/>
    <mergeCell ref="F4:F6"/>
    <mergeCell ref="G4:G6"/>
    <mergeCell ref="H4:H6"/>
    <mergeCell ref="F7:F8"/>
    <mergeCell ref="G7:G8"/>
    <mergeCell ref="H7:H8"/>
    <mergeCell ref="E10:E15"/>
    <mergeCell ref="E7:E9"/>
    <mergeCell ref="I7:I8"/>
    <mergeCell ref="I10:I11"/>
    <mergeCell ref="I13:I14"/>
    <mergeCell ref="F13:F14"/>
    <mergeCell ref="G13:G14"/>
    <mergeCell ref="H13:H14"/>
  </mergeCells>
  <hyperlinks>
    <hyperlink ref="J6" location="_ftn1" display="_ftn1" xr:uid="{39AA04AD-6723-4267-BEAF-2FE76E4ABB9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WCPowerTaggingTag12345 xmlns="49dbd42b-4e70-49db-9652-074cdc37e754">{
  "Extraction": 0,
  "Tags": [
    {
      "ConceptSchemes": [
        {
          "Uri": "http://vocabulary.gcfund.org/GCFTaxonomyPortfolioanalysis/2146",
          "Label": "Sectors"
        }
      ],
      "BroaderConcepts": [
        {
          "Uri": "http://vocabulary.gcfund.org/GCFTaxonomyPortfolioanalysis/2494",
          "Label": "-"
        }
      ],
      "Url": "http://vocabulary.gcfund.org/GCFTaxonomyPortfolioanalysis/2495",
      "Label": "Solar photovoltaic",
      "Score": 100.0,
      "ManuallyAdded": false
    },
    {
      "ConceptSchemes": [
        {
          "Uri": "http://vocabulary.gcfund.org/GCFTaxonomyPortfolioanalysis/338",
          "Label": "Mitigation technologies"
        }
      ],
      "BroaderConcepts": [
        {
          "Uri": "http://vocabulary.gcfund.org/GCFTaxonomyPortfolioanalysis/340",
          "Label": "-"
        }
      ],
      "Url": "http://vocabulary.gcfund.org/GCFTaxonomyPortfolioanalysis/341",
      "Label": "insulation",
      "Score": 48.0,
      "ManuallyAdded": false
    }
  ],
  "UnwantedTags": [
    "eyJDb25jZXB0U2NoZW1lcyI6W3siVXJpIjoiaHR0cDovL3ZvY2FidWxhcnkuZ2NmdW5kLm9yZy9HQ0ZUYXhvbm9teVBvcnRmb2xpb2FuYWx5c2lzLzIxNDYiLCJMYWJlbCI6IlNlY3RvcnMifV0sIkJyb2FkZXJDb25jZXB0cyI6W3siVXJpIjoiaHR0cDovL3ZvY2FidWxhcnkuZ2NmdW5kLm9yZy9HQ0ZUYXhvbm9teVBvcnRmb2xpb2FuYWx5c2lzLzI1ODIiLCJMYWJlbCI6Ii0ifV0sIlVybCI6Imh0dHA6Ly92b2NhYnVsYXJ5LmdjZnVuZC5vcmcvR0NGVGF4b25vbXlQb3J0Zm9saW9hbmFseXNpcy8yNTk1IiwiTGFiZWwiOiJHcmlkIiwiU2NvcmUiOjE3LjAsIk1hbnVhbGx5QWRkZWQiOmZhbHNlfQ==",
    "eyJDb25jZXB0U2NoZW1lcyI6W3siVXJpIjoiaHR0cDovL3ZvY2FidWxhcnkuZ2NmdW5kLm9yZy9HQ0ZUYXhvbm9teVBvcnRmb2xpb2FuYWx5c2lzLzIxNDYiLCJMYWJlbCI6IlNlY3RvcnMifV0sIkJyb2FkZXJDb25jZXB0cyI6W3siVXJpIjoiaHR0cDovL3ZvY2FidWxhcnkuZ2NmdW5kLm9yZy9HQ0ZUYXhvbm9teVBvcnRmb2xpb2FuYWx5c2lzLzI0NTYiLCJMYWJlbCI6Ii0ifV0sIlVybCI6Imh0dHA6Ly92b2NhYnVsYXJ5LmdjZnVuZC5vcmcvR0NGVGF4b25vbXlQb3J0Zm9saW9hbmFseXNpcy8yNDc2IiwiTGFiZWwiOiJXYXRlciBkaXN0cmlidXRpb24iLCJTY29yZSI6OS4wLCJNYW51YWxseUFkZGVkIjpmYWxzZX0="
  ]
}</SWCPowerTaggingTag12345>
    <Entity xmlns="824b34bd-1cca-4e4f-95bb-83065b728cb3" xsi:nil="true"/>
    <Country xmlns="824b34bd-1cca-4e4f-95bb-83065b728cb3" xsi:nil="true"/>
    <TaxCatchAll xmlns="50c9b839-8b53-4ddb-9b24-b96221f2bda6" xsi:nil="true"/>
    <Sector xmlns="824b34bd-1cca-4e4f-95bb-83065b728cb3" xsi:nil="true"/>
    <lcf76f155ced4ddcb4097134ff3c332f xmlns="824b34bd-1cca-4e4f-95bb-83065b728cb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3619DCAD3F7F43A1027DB5855E390F" ma:contentTypeVersion="23" ma:contentTypeDescription="Create a new document." ma:contentTypeScope="" ma:versionID="179ab2a9e7c4af6550c8f569af3f6215">
  <xsd:schema xmlns:xsd="http://www.w3.org/2001/XMLSchema" xmlns:xs="http://www.w3.org/2001/XMLSchema" xmlns:p="http://schemas.microsoft.com/office/2006/metadata/properties" xmlns:ns2="824b34bd-1cca-4e4f-95bb-83065b728cb3" xmlns:ns3="cf2df66c-76ed-4d08-ace1-ca6b2a03a895" xmlns:ns4="50c9b839-8b53-4ddb-9b24-b96221f2bda6" xmlns:ns5="49dbd42b-4e70-49db-9652-074cdc37e754" targetNamespace="http://schemas.microsoft.com/office/2006/metadata/properties" ma:root="true" ma:fieldsID="57cb0ca5056021c54e58e1088ba2f0fc" ns2:_="" ns3:_="" ns4:_="" ns5:_="">
    <xsd:import namespace="824b34bd-1cca-4e4f-95bb-83065b728cb3"/>
    <xsd:import namespace="cf2df66c-76ed-4d08-ace1-ca6b2a03a895"/>
    <xsd:import namespace="50c9b839-8b53-4ddb-9b24-b96221f2bda6"/>
    <xsd:import namespace="49dbd42b-4e70-49db-9652-074cdc37e754"/>
    <xsd:element name="properties">
      <xsd:complexType>
        <xsd:sequence>
          <xsd:element name="documentManagement">
            <xsd:complexType>
              <xsd:all>
                <xsd:element ref="ns2:Entity" minOccurs="0"/>
                <xsd:element ref="ns2:Country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Secto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5:SWCPowerTaggingTag12345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4b34bd-1cca-4e4f-95bb-83065b728cb3" elementFormDefault="qualified">
    <xsd:import namespace="http://schemas.microsoft.com/office/2006/documentManagement/types"/>
    <xsd:import namespace="http://schemas.microsoft.com/office/infopath/2007/PartnerControls"/>
    <xsd:element name="Entity" ma:index="2" nillable="true" ma:displayName="Entity" ma:internalName="Entity">
      <xsd:simpleType>
        <xsd:restriction base="dms:Text">
          <xsd:maxLength value="255"/>
        </xsd:restriction>
      </xsd:simpleType>
    </xsd:element>
    <xsd:element name="Country" ma:index="3" nillable="true" ma:displayName="Country" ma:internalName="Country">
      <xsd:simpleType>
        <xsd:restriction base="dms:Note">
          <xsd:maxLength value="255"/>
        </xsd:restriction>
      </xsd:simpleType>
    </xsd:element>
    <xsd:element name="MediaServiceMetadata" ma:index="6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Sector" ma:index="16" nillable="true" ma:displayName="Sector" ma:format="Dropdown" ma:internalName="Sector">
      <xsd:simpleType>
        <xsd:union memberTypes="dms:Text">
          <xsd:simpleType>
            <xsd:restriction base="dms:Choice">
              <xsd:enumeration value="Public"/>
              <xsd:enumeration value="Private"/>
              <xsd:enumeration value="PPP"/>
            </xsd:restriction>
          </xsd:simpleType>
        </xsd:un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2df66c-76ed-4d08-ace1-ca6b2a03a89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6" nillable="true" ma:displayName="Taxonomy Catch All Column" ma:hidden="true" ma:list="{4a918b62-f719-4090-b2a8-8219ec517120}" ma:internalName="TaxCatchAll" ma:showField="CatchAllData" ma:web="cf2df66c-76ed-4d08-ace1-ca6b2a03a8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bd42b-4e70-49db-9652-074cdc37e754" elementFormDefault="qualified">
    <xsd:import namespace="http://schemas.microsoft.com/office/2006/documentManagement/types"/>
    <xsd:import namespace="http://schemas.microsoft.com/office/infopath/2007/PartnerControls"/>
    <xsd:element name="SWCPowerTaggingTag12345" ma:index="27" nillable="true" ma:displayName="PPTags" ma:internalName="SWCPowerTaggingTag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48D1E1-021D-4602-93DA-6ED70A988C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004CD7-8C61-43A4-A8FB-D453A3CC4E8C}">
  <ds:schemaRefs>
    <ds:schemaRef ds:uri="http://schemas.microsoft.com/office/2006/metadata/properties"/>
    <ds:schemaRef ds:uri="http://schemas.microsoft.com/office/infopath/2007/PartnerControls"/>
    <ds:schemaRef ds:uri="49dbd42b-4e70-49db-9652-074cdc37e754"/>
    <ds:schemaRef ds:uri="824b34bd-1cca-4e4f-95bb-83065b728cb3"/>
    <ds:schemaRef ds:uri="50c9b839-8b53-4ddb-9b24-b96221f2bda6"/>
  </ds:schemaRefs>
</ds:datastoreItem>
</file>

<file path=customXml/itemProps3.xml><?xml version="1.0" encoding="utf-8"?>
<ds:datastoreItem xmlns:ds="http://schemas.openxmlformats.org/officeDocument/2006/customXml" ds:itemID="{D996860B-4181-41FF-9B6C-2A75E453DF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4b34bd-1cca-4e4f-95bb-83065b728cb3"/>
    <ds:schemaRef ds:uri="cf2df66c-76ed-4d08-ace1-ca6b2a03a895"/>
    <ds:schemaRef ds:uri="50c9b839-8b53-4ddb-9b24-b96221f2bda6"/>
    <ds:schemaRef ds:uri="49dbd42b-4e70-49db-9652-074cdc37e7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PV</vt:lpstr>
      <vt:lpstr>EE</vt:lpstr>
      <vt:lpstr>Water</vt:lpstr>
      <vt:lpstr>LED</vt:lpstr>
      <vt:lpstr>Embodied</vt:lpstr>
      <vt:lpstr>SUM</vt:lpstr>
      <vt:lpstr>GCF</vt:lpstr>
      <vt:lpstr>reallocation budget</vt:lpstr>
      <vt:lpstr>'reallocation budget'!_ftn1</vt:lpstr>
      <vt:lpstr>'reallocation budget'!_ftnref1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Minjin.S</dc:creator>
  <cp:keywords/>
  <dc:description/>
  <cp:lastModifiedBy>Marcel Heijman</cp:lastModifiedBy>
  <cp:revision/>
  <dcterms:created xsi:type="dcterms:W3CDTF">2023-11-01T02:49:02Z</dcterms:created>
  <dcterms:modified xsi:type="dcterms:W3CDTF">2024-09-19T01:34:15Z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0x0101003E3619DCAD3F7F43A1027DB5855E390F</vt:lpwstr>
  </property>
  <property fmtid="{D5CDD505-2E9C-101B-9397-08002B2CF9AE}" pid="3" name="MediaServiceImageTags">
    <vt:lpwstr/>
  </property>
</Properties>
</file>